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165" windowWidth="14310" windowHeight="10965" activeTab="1"/>
  </bookViews>
  <sheets>
    <sheet name="прил 2 Титул" sheetId="1" r:id="rId1"/>
    <sheet name="5" sheetId="4" r:id="rId2"/>
    <sheet name="6" sheetId="5" r:id="rId3"/>
    <sheet name="7" sheetId="6" r:id="rId4"/>
    <sheet name="8" sheetId="7" r:id="rId5"/>
    <sheet name="9" sheetId="8" r:id="rId6"/>
    <sheet name="С1 (Прил2)" sheetId="9" r:id="rId7"/>
    <sheet name="С1 (Прил3)" sheetId="10" r:id="rId8"/>
    <sheet name="С2 (ВЛ)" sheetId="11" r:id="rId9"/>
    <sheet name="С3 (КЛ)" sheetId="12" r:id="rId10"/>
    <sheet name="С5 (ТП)" sheetId="13" r:id="rId11"/>
  </sheets>
  <externalReferences>
    <externalReference r:id="rId12"/>
  </externalReferences>
  <definedNames>
    <definedName name="Z_1F1EC9A1_559B_45BE_A366_DE40EA2885B6_.wvu.PrintArea" localSheetId="2" hidden="1">'6'!$A$1:$D$43</definedName>
    <definedName name="Z_1F1EC9A1_559B_45BE_A366_DE40EA2885B6_.wvu.Rows" localSheetId="1" hidden="1">'5'!$1:$2,'5'!$8:$8</definedName>
    <definedName name="Z_1F1EC9A1_559B_45BE_A366_DE40EA2885B6_.wvu.Rows" localSheetId="2" hidden="1">'6'!$6:$6</definedName>
    <definedName name="Z_1F1EC9A1_559B_45BE_A366_DE40EA2885B6_.wvu.Rows" localSheetId="3" hidden="1">'7'!$6:$6</definedName>
    <definedName name="Z_1F1EC9A1_559B_45BE_A366_DE40EA2885B6_.wvu.Rows" localSheetId="4" hidden="1">'8'!$6:$6</definedName>
    <definedName name="Z_1F1EC9A1_559B_45BE_A366_DE40EA2885B6_.wvu.Rows" localSheetId="5" hidden="1">'9'!$6:$6</definedName>
    <definedName name="Z_590CC574_4B1C_4AB8_AB4D_7FAB395FC0A2_.wvu.PrintArea" localSheetId="2" hidden="1">'6'!$A$1:$D$43</definedName>
    <definedName name="Z_590CC574_4B1C_4AB8_AB4D_7FAB395FC0A2_.wvu.Rows" localSheetId="1" hidden="1">'5'!$1:$2,'5'!$8:$8</definedName>
    <definedName name="Z_590CC574_4B1C_4AB8_AB4D_7FAB395FC0A2_.wvu.Rows" localSheetId="2" hidden="1">'6'!$6:$6</definedName>
    <definedName name="Z_590CC574_4B1C_4AB8_AB4D_7FAB395FC0A2_.wvu.Rows" localSheetId="3" hidden="1">'7'!$6:$6</definedName>
    <definedName name="Z_590CC574_4B1C_4AB8_AB4D_7FAB395FC0A2_.wvu.Rows" localSheetId="4" hidden="1">'8'!$6:$6</definedName>
    <definedName name="Z_590CC574_4B1C_4AB8_AB4D_7FAB395FC0A2_.wvu.Rows" localSheetId="5" hidden="1">'9'!$6:$6</definedName>
    <definedName name="_xlnm.Print_Area" localSheetId="1">'5'!$A$1:$D$42</definedName>
    <definedName name="_xlnm.Print_Area" localSheetId="2">'6'!$A$1:$D$43</definedName>
    <definedName name="_xlnm.Print_Area" localSheetId="6">'С1 (Прил2)'!$A$1:$N$44</definedName>
    <definedName name="_xlnm.Print_Area" localSheetId="8">'С2 (ВЛ)'!$A$1:$Q$30</definedName>
    <definedName name="_xlnm.Print_Area" localSheetId="9">'С3 (КЛ)'!$A$1:$Q$27</definedName>
    <definedName name="_xlnm.Print_Area" localSheetId="10">'С5 (ТП)'!$A$1:$Q$45</definedName>
  </definedNames>
  <calcPr calcId="145621"/>
  <customWorkbookViews>
    <customWorkbookView name="Пользователь Windows - Личное представление" guid="{590CC574-4B1C-4AB8-AB4D-7FAB395FC0A2}" mergeInterval="0" personalView="1" maximized="1" yWindow="-4" windowWidth="1676" windowHeight="829" activeSheetId="1"/>
    <customWorkbookView name="Кириленко Елена Евгеньевна - Личное представление" guid="{1F1EC9A1-559B-45BE-A366-DE40EA2885B6}" mergeInterval="0" personalView="1" maximized="1" windowWidth="1916" windowHeight="795" activeSheetId="2"/>
  </customWorkbookViews>
</workbook>
</file>

<file path=xl/calcChain.xml><?xml version="1.0" encoding="utf-8"?>
<calcChain xmlns="http://schemas.openxmlformats.org/spreadsheetml/2006/main">
  <c r="D41" i="4" l="1"/>
  <c r="D39" i="4"/>
  <c r="C41" i="4" l="1"/>
  <c r="D33" i="4"/>
  <c r="D26" i="4" l="1"/>
  <c r="D22" i="4" s="1"/>
  <c r="D16" i="4" s="1"/>
  <c r="D42" i="4" s="1"/>
  <c r="U43" i="13" l="1"/>
  <c r="U42" i="13" s="1"/>
  <c r="T43" i="13"/>
  <c r="S43" i="13"/>
  <c r="V43" i="13" s="1"/>
  <c r="T42" i="13"/>
  <c r="Q42" i="13"/>
  <c r="P42" i="13"/>
  <c r="O42" i="13"/>
  <c r="N42" i="13"/>
  <c r="M42" i="13"/>
  <c r="L42" i="13"/>
  <c r="H42" i="13"/>
  <c r="G42" i="13"/>
  <c r="F42" i="13"/>
  <c r="U41" i="13"/>
  <c r="U40" i="13" s="1"/>
  <c r="T41" i="13"/>
  <c r="S41" i="13"/>
  <c r="S40" i="13" s="1"/>
  <c r="M41" i="13"/>
  <c r="L41" i="13"/>
  <c r="L40" i="13" s="1"/>
  <c r="T40" i="13"/>
  <c r="Q40" i="13"/>
  <c r="P40" i="13"/>
  <c r="O40" i="13"/>
  <c r="N40" i="13"/>
  <c r="M40" i="13"/>
  <c r="H40" i="13"/>
  <c r="G40" i="13"/>
  <c r="F40" i="13"/>
  <c r="U39" i="13"/>
  <c r="T39" i="13"/>
  <c r="S39" i="13"/>
  <c r="L39" i="13"/>
  <c r="U38" i="13"/>
  <c r="U37" i="13" s="1"/>
  <c r="M38" i="13"/>
  <c r="T38" i="13" s="1"/>
  <c r="T37" i="13" s="1"/>
  <c r="L38" i="13"/>
  <c r="L37" i="13" s="1"/>
  <c r="Q37" i="13"/>
  <c r="P37" i="13"/>
  <c r="O37" i="13"/>
  <c r="N37" i="13"/>
  <c r="M37" i="13"/>
  <c r="H37" i="13"/>
  <c r="G37" i="13"/>
  <c r="F37" i="13"/>
  <c r="U36" i="13"/>
  <c r="U34" i="13" s="1"/>
  <c r="M36" i="13"/>
  <c r="T36" i="13" s="1"/>
  <c r="L36" i="13"/>
  <c r="S36" i="13" s="1"/>
  <c r="U35" i="13"/>
  <c r="T35" i="13"/>
  <c r="M35" i="13"/>
  <c r="M34" i="13" s="1"/>
  <c r="L35" i="13"/>
  <c r="S35" i="13" s="1"/>
  <c r="Q34" i="13"/>
  <c r="P34" i="13"/>
  <c r="O34" i="13"/>
  <c r="N34" i="13"/>
  <c r="L34" i="13"/>
  <c r="H34" i="13"/>
  <c r="G34" i="13"/>
  <c r="F34" i="13"/>
  <c r="U33" i="13"/>
  <c r="S33" i="13"/>
  <c r="W33" i="13" s="1"/>
  <c r="M33" i="13"/>
  <c r="T33" i="13" s="1"/>
  <c r="V33" i="13" s="1"/>
  <c r="U32" i="13"/>
  <c r="M32" i="13"/>
  <c r="T32" i="13" s="1"/>
  <c r="T30" i="13" s="1"/>
  <c r="L32" i="13"/>
  <c r="S32" i="13" s="1"/>
  <c r="U31" i="13"/>
  <c r="U30" i="13" s="1"/>
  <c r="T31" i="13"/>
  <c r="M31" i="13"/>
  <c r="L31" i="13"/>
  <c r="L30" i="13" s="1"/>
  <c r="Q30" i="13"/>
  <c r="P30" i="13"/>
  <c r="O30" i="13"/>
  <c r="N30" i="13"/>
  <c r="M30" i="13"/>
  <c r="H30" i="13"/>
  <c r="G30" i="13"/>
  <c r="F30" i="13"/>
  <c r="U29" i="13"/>
  <c r="U28" i="13" s="1"/>
  <c r="T29" i="13"/>
  <c r="S29" i="13"/>
  <c r="V29" i="13" s="1"/>
  <c r="M29" i="13"/>
  <c r="L29" i="13"/>
  <c r="L28" i="13" s="1"/>
  <c r="T28" i="13"/>
  <c r="Q28" i="13"/>
  <c r="P28" i="13"/>
  <c r="O28" i="13"/>
  <c r="N28" i="13"/>
  <c r="M28" i="13"/>
  <c r="H28" i="13"/>
  <c r="G28" i="13"/>
  <c r="F28" i="13"/>
  <c r="U27" i="13"/>
  <c r="U26" i="13" s="1"/>
  <c r="T27" i="13"/>
  <c r="S27" i="13"/>
  <c r="V27" i="13" s="1"/>
  <c r="T26" i="13"/>
  <c r="Q26" i="13"/>
  <c r="P26" i="13"/>
  <c r="O26" i="13"/>
  <c r="N26" i="13"/>
  <c r="M26" i="13"/>
  <c r="L26" i="13"/>
  <c r="H26" i="13"/>
  <c r="G26" i="13"/>
  <c r="F26" i="13"/>
  <c r="U25" i="13"/>
  <c r="U24" i="13" s="1"/>
  <c r="T25" i="13"/>
  <c r="S25" i="13"/>
  <c r="T24" i="13"/>
  <c r="Q24" i="13"/>
  <c r="P24" i="13"/>
  <c r="O24" i="13"/>
  <c r="N24" i="13"/>
  <c r="M24" i="13"/>
  <c r="L24" i="13"/>
  <c r="H24" i="13"/>
  <c r="G24" i="13"/>
  <c r="F24" i="13"/>
  <c r="U23" i="13"/>
  <c r="T23" i="13"/>
  <c r="S23" i="13"/>
  <c r="V23" i="13" s="1"/>
  <c r="P23" i="13"/>
  <c r="U22" i="13"/>
  <c r="T22" i="13"/>
  <c r="Q22" i="13"/>
  <c r="P22" i="13"/>
  <c r="O22" i="13"/>
  <c r="N22" i="13"/>
  <c r="M22" i="13"/>
  <c r="L22" i="13"/>
  <c r="H22" i="13"/>
  <c r="G22" i="13"/>
  <c r="F22" i="13"/>
  <c r="U21" i="13"/>
  <c r="T21" i="13"/>
  <c r="L21" i="13"/>
  <c r="S21" i="13" s="1"/>
  <c r="U20" i="13"/>
  <c r="T20" i="13"/>
  <c r="Q20" i="13"/>
  <c r="P20" i="13"/>
  <c r="O20" i="13"/>
  <c r="N20" i="13"/>
  <c r="M20" i="13"/>
  <c r="H20" i="13"/>
  <c r="G20" i="13"/>
  <c r="F20" i="13"/>
  <c r="U19" i="13"/>
  <c r="U18" i="13" s="1"/>
  <c r="T19" i="13"/>
  <c r="S19" i="13"/>
  <c r="L19" i="13"/>
  <c r="T18" i="13"/>
  <c r="S18" i="13"/>
  <c r="V18" i="13" s="1"/>
  <c r="Q18" i="13"/>
  <c r="P18" i="13"/>
  <c r="O18" i="13"/>
  <c r="N18" i="13"/>
  <c r="M18" i="13"/>
  <c r="L18" i="13"/>
  <c r="H18" i="13"/>
  <c r="G18" i="13"/>
  <c r="F18" i="13"/>
  <c r="U17" i="13"/>
  <c r="T17" i="13"/>
  <c r="T16" i="13" s="1"/>
  <c r="L17" i="13"/>
  <c r="S17" i="13" s="1"/>
  <c r="U16" i="13"/>
  <c r="Q16" i="13"/>
  <c r="P16" i="13"/>
  <c r="O16" i="13"/>
  <c r="N16" i="13"/>
  <c r="M16" i="13"/>
  <c r="H16" i="13"/>
  <c r="G16" i="13"/>
  <c r="F16" i="13"/>
  <c r="U15" i="13"/>
  <c r="U13" i="13" s="1"/>
  <c r="S15" i="13"/>
  <c r="M15" i="13"/>
  <c r="T15" i="13" s="1"/>
  <c r="T13" i="13" s="1"/>
  <c r="L15" i="13"/>
  <c r="U14" i="13"/>
  <c r="T14" i="13"/>
  <c r="L14" i="13"/>
  <c r="S14" i="13" s="1"/>
  <c r="Q13" i="13"/>
  <c r="P13" i="13"/>
  <c r="O13" i="13"/>
  <c r="N13" i="13"/>
  <c r="M13" i="13"/>
  <c r="H13" i="13"/>
  <c r="G13" i="13"/>
  <c r="F13" i="13"/>
  <c r="U12" i="13"/>
  <c r="T12" i="13"/>
  <c r="S12" i="13"/>
  <c r="L12" i="13"/>
  <c r="U11" i="13"/>
  <c r="T11" i="13"/>
  <c r="S11" i="13"/>
  <c r="V11" i="13" s="1"/>
  <c r="U10" i="13"/>
  <c r="S10" i="13"/>
  <c r="M10" i="13"/>
  <c r="T10" i="13" s="1"/>
  <c r="U9" i="13"/>
  <c r="Q9" i="13"/>
  <c r="Q45" i="13" s="1"/>
  <c r="P9" i="13"/>
  <c r="O9" i="13"/>
  <c r="O45" i="13" s="1"/>
  <c r="N9" i="13"/>
  <c r="M9" i="13"/>
  <c r="L9" i="13"/>
  <c r="K45" i="13"/>
  <c r="I45" i="13"/>
  <c r="H9" i="13"/>
  <c r="G9" i="13"/>
  <c r="G45" i="13" s="1"/>
  <c r="F9" i="13"/>
  <c r="U8" i="13"/>
  <c r="S8" i="13"/>
  <c r="V8" i="13" s="1"/>
  <c r="M8" i="13"/>
  <c r="T8" i="13" s="1"/>
  <c r="T7" i="13" s="1"/>
  <c r="U7" i="13"/>
  <c r="Q7" i="13"/>
  <c r="P7" i="13"/>
  <c r="P45" i="13" s="1"/>
  <c r="O7" i="13"/>
  <c r="N7" i="13"/>
  <c r="N45" i="13" s="1"/>
  <c r="M7" i="13"/>
  <c r="L7" i="13"/>
  <c r="J45" i="13"/>
  <c r="H7" i="13"/>
  <c r="H45" i="13" s="1"/>
  <c r="G7" i="13"/>
  <c r="F7" i="13"/>
  <c r="F45" i="13" s="1"/>
  <c r="Q29" i="12"/>
  <c r="P29" i="12"/>
  <c r="O29" i="12"/>
  <c r="N29" i="12"/>
  <c r="M29" i="12"/>
  <c r="L29" i="12"/>
  <c r="K29" i="12"/>
  <c r="J29" i="12"/>
  <c r="I29" i="12"/>
  <c r="H29" i="12"/>
  <c r="G29" i="12"/>
  <c r="F29" i="12"/>
  <c r="U27" i="12"/>
  <c r="T27" i="12"/>
  <c r="S27" i="12"/>
  <c r="U26" i="12"/>
  <c r="V26" i="12" s="1"/>
  <c r="T26" i="12"/>
  <c r="S26" i="12"/>
  <c r="V25" i="12"/>
  <c r="U25" i="12"/>
  <c r="T25" i="12"/>
  <c r="S25" i="12"/>
  <c r="W25" i="12" s="1"/>
  <c r="U24" i="12"/>
  <c r="T24" i="12"/>
  <c r="S24" i="12"/>
  <c r="V24" i="12" s="1"/>
  <c r="Q18" i="12"/>
  <c r="P18" i="12"/>
  <c r="O18" i="12"/>
  <c r="N18" i="12"/>
  <c r="M18" i="12"/>
  <c r="L18" i="12"/>
  <c r="K18" i="12"/>
  <c r="J18" i="12"/>
  <c r="I18" i="12"/>
  <c r="H18" i="12"/>
  <c r="G18" i="12"/>
  <c r="F18" i="12"/>
  <c r="U16" i="12"/>
  <c r="T16" i="12"/>
  <c r="S16" i="12"/>
  <c r="U15" i="12"/>
  <c r="V15" i="12" s="1"/>
  <c r="T15" i="12"/>
  <c r="S15" i="12"/>
  <c r="V14" i="12"/>
  <c r="U14" i="12"/>
  <c r="T14" i="12"/>
  <c r="S14" i="12"/>
  <c r="W14" i="12" s="1"/>
  <c r="U13" i="12"/>
  <c r="T13" i="12"/>
  <c r="S13" i="12"/>
  <c r="V13" i="12" s="1"/>
  <c r="U12" i="12"/>
  <c r="T12" i="12"/>
  <c r="S12" i="12"/>
  <c r="U11" i="12"/>
  <c r="V11" i="12" s="1"/>
  <c r="T11" i="12"/>
  <c r="S11" i="12"/>
  <c r="W11" i="12" s="1"/>
  <c r="V10" i="12"/>
  <c r="U10" i="12"/>
  <c r="T10" i="12"/>
  <c r="S10" i="12"/>
  <c r="W10" i="12" s="1"/>
  <c r="U9" i="12"/>
  <c r="T9" i="12"/>
  <c r="S9" i="12"/>
  <c r="V9" i="12" s="1"/>
  <c r="U8" i="12"/>
  <c r="T8" i="12"/>
  <c r="S8" i="12"/>
  <c r="Q31" i="11"/>
  <c r="P31" i="11"/>
  <c r="O31" i="11"/>
  <c r="N31" i="11"/>
  <c r="M31" i="11"/>
  <c r="L31" i="11"/>
  <c r="K31" i="11"/>
  <c r="J31" i="11"/>
  <c r="I31" i="11"/>
  <c r="H31" i="11"/>
  <c r="G31" i="11"/>
  <c r="F31" i="11"/>
  <c r="U29" i="11"/>
  <c r="T29" i="11"/>
  <c r="V29" i="11" s="1"/>
  <c r="S29" i="11"/>
  <c r="W29" i="11" s="1"/>
  <c r="U28" i="11"/>
  <c r="V28" i="11" s="1"/>
  <c r="T28" i="11"/>
  <c r="S28" i="11"/>
  <c r="V27" i="11"/>
  <c r="U27" i="11"/>
  <c r="T27" i="11"/>
  <c r="S27" i="11"/>
  <c r="W27" i="11" s="1"/>
  <c r="U26" i="11"/>
  <c r="T26" i="11"/>
  <c r="S26" i="11"/>
  <c r="V26" i="11" s="1"/>
  <c r="U25" i="11"/>
  <c r="T25" i="11"/>
  <c r="S25" i="11"/>
  <c r="U24" i="11"/>
  <c r="V24" i="11" s="1"/>
  <c r="T24" i="11"/>
  <c r="S24" i="11"/>
  <c r="Q16" i="11"/>
  <c r="P16" i="11"/>
  <c r="O16" i="11"/>
  <c r="N16" i="11"/>
  <c r="M16" i="11"/>
  <c r="L16" i="11"/>
  <c r="K16" i="11"/>
  <c r="J16" i="11"/>
  <c r="I16" i="11"/>
  <c r="H16" i="11"/>
  <c r="F16" i="11"/>
  <c r="V14" i="11"/>
  <c r="U14" i="11"/>
  <c r="T14" i="11"/>
  <c r="S14" i="11"/>
  <c r="U13" i="11"/>
  <c r="T13" i="11"/>
  <c r="S13" i="11"/>
  <c r="V13" i="11" s="1"/>
  <c r="U12" i="11"/>
  <c r="T12" i="11"/>
  <c r="S12" i="11"/>
  <c r="U11" i="11"/>
  <c r="T11" i="11"/>
  <c r="S11" i="11"/>
  <c r="U10" i="11"/>
  <c r="T10" i="11"/>
  <c r="S10" i="11"/>
  <c r="V10" i="11" s="1"/>
  <c r="U9" i="11"/>
  <c r="T9" i="11"/>
  <c r="V9" i="11" s="1"/>
  <c r="S9" i="11"/>
  <c r="U8" i="11"/>
  <c r="S8" i="11"/>
  <c r="G8" i="11"/>
  <c r="G16" i="11" s="1"/>
  <c r="L12" i="10"/>
  <c r="I12" i="10"/>
  <c r="J12" i="10" s="1"/>
  <c r="N12" i="10" s="1"/>
  <c r="E12" i="10"/>
  <c r="F12" i="10" s="1"/>
  <c r="O12" i="9"/>
  <c r="R12" i="9" s="1"/>
  <c r="T12" i="9"/>
  <c r="R11" i="9"/>
  <c r="O11" i="9"/>
  <c r="T11" i="9"/>
  <c r="S13" i="13" l="1"/>
  <c r="V14" i="13"/>
  <c r="W14" i="13" s="1"/>
  <c r="M45" i="13"/>
  <c r="V15" i="13"/>
  <c r="W15" i="13" s="1"/>
  <c r="S20" i="13"/>
  <c r="V21" i="13"/>
  <c r="W21" i="13" s="1"/>
  <c r="T34" i="13"/>
  <c r="W39" i="13"/>
  <c r="W12" i="13"/>
  <c r="W32" i="13"/>
  <c r="V32" i="13"/>
  <c r="V40" i="13"/>
  <c r="W40" i="13" s="1"/>
  <c r="V10" i="13"/>
  <c r="W10" i="13" s="1"/>
  <c r="T9" i="13"/>
  <c r="V17" i="13"/>
  <c r="W17" i="13" s="1"/>
  <c r="S16" i="13"/>
  <c r="S34" i="13"/>
  <c r="V35" i="13"/>
  <c r="W35" i="13" s="1"/>
  <c r="V36" i="13"/>
  <c r="W36" i="13"/>
  <c r="W8" i="13"/>
  <c r="W11" i="13"/>
  <c r="W18" i="13"/>
  <c r="W23" i="13"/>
  <c r="W27" i="13"/>
  <c r="W29" i="13"/>
  <c r="S31" i="13"/>
  <c r="S38" i="13"/>
  <c r="W43" i="13"/>
  <c r="S9" i="13"/>
  <c r="V12" i="13"/>
  <c r="L13" i="13"/>
  <c r="L45" i="13" s="1"/>
  <c r="V19" i="13"/>
  <c r="W19" i="13" s="1"/>
  <c r="L20" i="13"/>
  <c r="S24" i="13"/>
  <c r="V25" i="13"/>
  <c r="W25" i="13" s="1"/>
  <c r="S28" i="13"/>
  <c r="V39" i="13"/>
  <c r="V41" i="13"/>
  <c r="W41" i="13" s="1"/>
  <c r="S7" i="13"/>
  <c r="S22" i="13"/>
  <c r="L16" i="13"/>
  <c r="S26" i="13"/>
  <c r="S42" i="13"/>
  <c r="W12" i="12"/>
  <c r="W15" i="12"/>
  <c r="W26" i="12"/>
  <c r="V8" i="12"/>
  <c r="W8" i="12" s="1"/>
  <c r="V12" i="12"/>
  <c r="V16" i="12"/>
  <c r="W16" i="12" s="1"/>
  <c r="V27" i="12"/>
  <c r="W27" i="12" s="1"/>
  <c r="W9" i="12"/>
  <c r="W13" i="12"/>
  <c r="W24" i="12"/>
  <c r="W12" i="11"/>
  <c r="V12" i="11"/>
  <c r="W14" i="11"/>
  <c r="V11" i="11"/>
  <c r="W11" i="11"/>
  <c r="W24" i="11"/>
  <c r="W9" i="11"/>
  <c r="W28" i="11"/>
  <c r="V25" i="11"/>
  <c r="W25" i="11" s="1"/>
  <c r="W10" i="11"/>
  <c r="W13" i="11"/>
  <c r="W26" i="11"/>
  <c r="T8" i="11"/>
  <c r="V8" i="11" s="1"/>
  <c r="T10" i="9"/>
  <c r="N31" i="10"/>
  <c r="N25" i="10"/>
  <c r="N24" i="10"/>
  <c r="N23" i="10"/>
  <c r="N20" i="10"/>
  <c r="N15" i="10"/>
  <c r="N17" i="10"/>
  <c r="N16" i="10"/>
  <c r="M12" i="10"/>
  <c r="N26" i="10"/>
  <c r="N30" i="10"/>
  <c r="W22" i="13" l="1"/>
  <c r="V22" i="13"/>
  <c r="W16" i="13"/>
  <c r="V16" i="13"/>
  <c r="W13" i="13"/>
  <c r="V13" i="13"/>
  <c r="W26" i="13"/>
  <c r="V26" i="13"/>
  <c r="W7" i="13"/>
  <c r="V7" i="13"/>
  <c r="V38" i="13"/>
  <c r="W38" i="13" s="1"/>
  <c r="S37" i="13"/>
  <c r="V24" i="13"/>
  <c r="W24" i="13" s="1"/>
  <c r="V31" i="13"/>
  <c r="S30" i="13"/>
  <c r="W31" i="13"/>
  <c r="W34" i="13"/>
  <c r="V34" i="13"/>
  <c r="W20" i="13"/>
  <c r="V20" i="13"/>
  <c r="W9" i="13"/>
  <c r="V9" i="13"/>
  <c r="W42" i="13"/>
  <c r="V42" i="13"/>
  <c r="W28" i="13"/>
  <c r="V28" i="13"/>
  <c r="W8" i="11"/>
  <c r="N14" i="10"/>
  <c r="N19" i="10"/>
  <c r="N22" i="10"/>
  <c r="N21" i="10" s="1"/>
  <c r="N29" i="10"/>
  <c r="N27" i="10" s="1"/>
  <c r="V30" i="13" l="1"/>
  <c r="W30" i="13" s="1"/>
  <c r="V37" i="13"/>
  <c r="W37" i="13" s="1"/>
  <c r="N18" i="10"/>
  <c r="N13" i="10" s="1"/>
  <c r="E20" i="6" l="1"/>
  <c r="D20" i="6"/>
  <c r="C20" i="6"/>
  <c r="E19" i="6"/>
  <c r="D19" i="6"/>
  <c r="C19" i="6"/>
  <c r="E16" i="6"/>
  <c r="D16" i="6"/>
  <c r="C16" i="6"/>
  <c r="D15" i="6"/>
  <c r="G14" i="5"/>
  <c r="F14" i="5"/>
  <c r="D14" i="5" s="1"/>
  <c r="E14" i="5"/>
  <c r="C14" i="5"/>
  <c r="C32" i="4" l="1"/>
  <c r="C19" i="4"/>
  <c r="C30" i="4"/>
  <c r="C29" i="4"/>
  <c r="C33" i="4"/>
  <c r="C26" i="4" l="1"/>
  <c r="C22" i="4" s="1"/>
  <c r="C16" i="4" s="1"/>
  <c r="C42" i="4" s="1"/>
</calcChain>
</file>

<file path=xl/sharedStrings.xml><?xml version="1.0" encoding="utf-8"?>
<sst xmlns="http://schemas.openxmlformats.org/spreadsheetml/2006/main" count="513" uniqueCount="252">
  <si>
    <t xml:space="preserve">              (наименование сетевой организации)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</si>
  <si>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</si>
  <si>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</si>
  <si>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</si>
  <si>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>(форма)</t>
  </si>
  <si>
    <t>--------------------------------</t>
  </si>
  <si>
    <t>Наименование мероприятий</t>
  </si>
  <si>
    <t>Объем максимальной мощности (кВт)</t>
  </si>
  <si>
    <t>№ п/п</t>
  </si>
  <si>
    <t>РАСЧЕТ</t>
  </si>
  <si>
    <t>(тыс. рублей)</t>
  </si>
  <si>
    <t>Показатели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</si>
  <si>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</si>
  <si>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</si>
  <si>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</si>
  <si>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</si>
  <si>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</si>
  <si>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</si>
  <si>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</si>
  <si>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</si>
  <si>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</si>
  <si>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</si>
  <si>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</si>
  <si>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</si>
  <si>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</si>
  <si>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</si>
  <si>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</si>
  <si>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</si>
  <si>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</si>
  <si>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</si>
  <si>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</si>
  <si>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</si>
  <si>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</si>
  <si>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</si>
  <si>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расходы на информационное обслуживание, консультационные и юридические услуги</t>
  </si>
  <si>
    <t>ФАКТИЧЕСКИЕ СРЕДНИЕ ДАННЫЕ</t>
  </si>
  <si>
    <t>о присоединенных объемах максимальной мощности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</si>
  <si>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</si>
  <si>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</si>
  <si>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</si>
  <si>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</si>
  <si>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</si>
  <si>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о длине линий электропередачи и об объемах максимальной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</si>
  <si>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</si>
  <si>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</si>
  <si>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</si>
  <si>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</si>
  <si>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</si>
  <si>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</si>
  <si>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</si>
  <si>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</si>
  <si>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</si>
  <si>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ИНФОРМАЦИЯ</t>
  </si>
  <si>
    <t>об осуществлении технологического присоединения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</si>
  <si>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</si>
  <si>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</si>
  <si>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</si>
  <si>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</si>
  <si>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</si>
  <si>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</si>
  <si>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</si>
  <si>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</si>
  <si>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</si>
  <si>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</si>
  <si>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</si>
  <si>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</si>
  <si>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</si>
  <si>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</si>
  <si>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</si>
  <si>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</si>
  <si>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</si>
  <si>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о поданных заявках на технологическое присоединение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</si>
  <si>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</si>
  <si>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</si>
  <si>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ПРОГНОЗНЫЕ СВЕДЕНИЯ</t>
  </si>
  <si>
    <t>о расходах за технологическое присоединение</t>
  </si>
  <si>
    <t>1. Полное наименование:</t>
  </si>
  <si>
    <t>2. Сокращенное наименование:</t>
  </si>
  <si>
    <t>3. Место нахождения:</t>
  </si>
  <si>
    <t>4. Адрес юридического лица:</t>
  </si>
  <si>
    <t>5. ИНН:</t>
  </si>
  <si>
    <t>6. КПП:</t>
  </si>
  <si>
    <t>7. Ф.И.О. руководителя:</t>
  </si>
  <si>
    <t>8. Адрес электронной почты:</t>
  </si>
  <si>
    <t>9. Контактный телефон:</t>
  </si>
  <si>
    <t>10. Факс:</t>
  </si>
  <si>
    <t>675000, Российская Федерация, Амурская область, г. Благовещенск, ул. Шевченко, 28</t>
  </si>
  <si>
    <t>2801108200</t>
  </si>
  <si>
    <t>272402001</t>
  </si>
  <si>
    <t xml:space="preserve">doc@khab.drsk.ru </t>
  </si>
  <si>
    <t>х</t>
  </si>
  <si>
    <t>по форме Приложения N 5</t>
  </si>
  <si>
    <t>по форме Приложения N 6</t>
  </si>
  <si>
    <t>по форме Приложения N 7</t>
  </si>
  <si>
    <t>по форме Приложения N 8</t>
  </si>
  <si>
    <t>по форме Приложения N 9</t>
  </si>
  <si>
    <t>Акционерное общество "Дальневосточная распределительная сетевая компания"
Joint Stock Company "Far-Eastern Grids Company"</t>
  </si>
  <si>
    <t xml:space="preserve"> АО "ДРСК"  JSC "FEGC" </t>
  </si>
  <si>
    <t>680009, Российская Федерация, Хабаровский край, г.Хабаровск, ул. Промышленная, 13</t>
  </si>
  <si>
    <t>Бакай Александр Васильевич</t>
  </si>
  <si>
    <t>(4212) 59-91-59</t>
  </si>
  <si>
    <t>(4212) 27-16-77</t>
  </si>
  <si>
    <r>
      <rPr>
        <u/>
        <sz val="13"/>
        <color theme="1"/>
        <rFont val="Times New Roman"/>
        <family val="1"/>
        <charset val="204"/>
      </rPr>
      <t xml:space="preserve">  АО "ДРСК" (филиал</t>
    </r>
    <r>
      <rPr>
        <b/>
        <u/>
        <sz val="13"/>
        <color theme="1"/>
        <rFont val="Times New Roman"/>
        <family val="1"/>
        <charset val="204"/>
      </rPr>
      <t xml:space="preserve"> "Хабаровские электрические сети"</t>
    </r>
    <r>
      <rPr>
        <u/>
        <sz val="13"/>
        <color theme="1"/>
        <rFont val="Times New Roman"/>
        <family val="1"/>
        <charset val="204"/>
      </rPr>
      <t xml:space="preserve">)  </t>
    </r>
    <r>
      <rPr>
        <sz val="13"/>
        <color theme="1"/>
        <rFont val="Times New Roman"/>
        <family val="1"/>
        <charset val="204"/>
      </rPr>
      <t xml:space="preserve"> на </t>
    </r>
    <r>
      <rPr>
        <u/>
        <sz val="13"/>
        <color theme="1"/>
        <rFont val="Times New Roman"/>
        <family val="1"/>
        <charset val="204"/>
      </rPr>
      <t xml:space="preserve"> 2019 </t>
    </r>
    <r>
      <rPr>
        <sz val="13"/>
        <color theme="1"/>
        <rFont val="Times New Roman"/>
        <family val="1"/>
        <charset val="204"/>
      </rPr>
      <t xml:space="preserve"> год</t>
    </r>
  </si>
  <si>
    <t>Ожидаемые показатели за ткущий период
на следующий период
(2018 год)</t>
  </si>
  <si>
    <t>Плановые показатели 
на следующий период
(2019 год)</t>
  </si>
  <si>
    <t>необходимой валовой выручки сетевой организации на технологическое присоединение по филиалу АО "ДРСК" - "Хабаровские электрические сети" на 2019 год</t>
  </si>
  <si>
    <t>за 3 предыдущих года по каждому мероприятию (2015-2017 гг.)</t>
  </si>
  <si>
    <t>мощности построенных объектов за 3 предыдущих года (2015-2017 гг.)</t>
  </si>
  <si>
    <t>по договорам, заключенным за текущий 2018 год</t>
  </si>
  <si>
    <t>за текущий 2018 год</t>
  </si>
  <si>
    <t>По форме Приложения № 2</t>
  </si>
  <si>
    <t>к Методическим указаниям</t>
  </si>
  <si>
    <t>по определению размера</t>
  </si>
  <si>
    <t>платы за технологическое</t>
  </si>
  <si>
    <t>присоединение к</t>
  </si>
  <si>
    <t>электрическим сетям</t>
  </si>
  <si>
    <t>N п/п</t>
  </si>
  <si>
    <t>Информация для расчета стандартизированной тарифной ставки С1
по филиалу АО "ДРСК" "Хабаровские электрические сети"</t>
  </si>
  <si>
    <t>Стандартизированная ставка
(руб. за одно присоединение)</t>
  </si>
  <si>
    <t>Расходы по каждому мероприятию (руб.)</t>
  </si>
  <si>
    <t>Количество технологических присоединений, шт.</t>
  </si>
  <si>
    <t>Расходы на одно присоединение (руб. на одно ТП)</t>
  </si>
  <si>
    <t>1.</t>
  </si>
  <si>
    <t>Подготовка и выдача сетевой организацией технических условий Заявителю (ТУ)</t>
  </si>
  <si>
    <t>2.</t>
  </si>
  <si>
    <t>Проверка сетевой организацией выполнения Заявителем ТУ</t>
  </si>
  <si>
    <t>По форме Приложения № 3</t>
  </si>
  <si>
    <t>Расчет 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</t>
  </si>
  <si>
    <t>тыс. руб.</t>
  </si>
  <si>
    <t>Всего расходов
по филиалу АО "ДРСК" "Хабаровские электрические сети"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</si>
  <si>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</si>
  <si>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</si>
  <si>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</si>
  <si>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</si>
  <si>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</si>
  <si>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</si>
  <si>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</si>
  <si>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</si>
  <si>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</si>
  <si>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</si>
  <si>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</si>
  <si>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</si>
  <si>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</si>
  <si>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</si>
  <si>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</si>
  <si>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</si>
  <si>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т.ч.:</t>
  </si>
  <si>
    <t>1.5.3.1.</t>
  </si>
  <si>
    <t>1.5.3.2.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</si>
  <si>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</si>
  <si>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</si>
  <si>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</si>
  <si>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1.5.3.5.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</si>
  <si>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</si>
  <si>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</si>
  <si>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</si>
  <si>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</si>
  <si>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</si>
  <si>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</si>
  <si>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</si>
  <si>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</si>
  <si>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</si>
  <si>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</si>
  <si>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</t>
  </si>
  <si>
    <t>Информация для расчета стандартизированной тарифной ставки С2. Строительство воздушных линий</t>
  </si>
  <si>
    <t>филиал АО "ДРСК" "Хабаровские электрические сети"</t>
  </si>
  <si>
    <t>ВЛ 6 (10) кВ</t>
  </si>
  <si>
    <t>Тип н/п</t>
  </si>
  <si>
    <t>Материал опоры</t>
  </si>
  <si>
    <t>Тип провода</t>
  </si>
  <si>
    <t>Материал провода</t>
  </si>
  <si>
    <r>
      <t>Сечение провода, мм</t>
    </r>
    <r>
      <rPr>
        <vertAlign val="superscript"/>
        <sz val="11"/>
        <rFont val="Times New Roman"/>
        <family val="1"/>
        <charset val="204"/>
      </rPr>
      <t>2</t>
    </r>
  </si>
  <si>
    <t>Протяженность, м.</t>
  </si>
  <si>
    <t>Пропускная способность, кВт/Максимальная мощность. кВт</t>
  </si>
  <si>
    <t>Расходы на строительство, тыс.руб</t>
  </si>
  <si>
    <t>Присоединенная максимальная мощность, кВт</t>
  </si>
  <si>
    <t>Величина расходов на строительство 1 км линии
(тыс. руб./км)</t>
  </si>
  <si>
    <t>Кол-во значений величин расходов на строительство</t>
  </si>
  <si>
    <t>Стандартизированная ставка
(руб./км)</t>
  </si>
  <si>
    <t>2015-2017</t>
  </si>
  <si>
    <t>территории городских населенных пунктов</t>
  </si>
  <si>
    <t>железобетонные опоры</t>
  </si>
  <si>
    <t>изолированный</t>
  </si>
  <si>
    <t>сталеалюминиевый</t>
  </si>
  <si>
    <t>до 50 вкл.</t>
  </si>
  <si>
    <t>50 - 100 вкл.</t>
  </si>
  <si>
    <t>100-200 вкл.</t>
  </si>
  <si>
    <t>аллюминевый</t>
  </si>
  <si>
    <t>территории, не относящиеся к территориям городских населенных пунктов</t>
  </si>
  <si>
    <t>Итого</t>
  </si>
  <si>
    <t>ВЛ 0,4 кВ</t>
  </si>
  <si>
    <t>50-100 вкл.</t>
  </si>
  <si>
    <t>алюминиевый</t>
  </si>
  <si>
    <t>Информация для расчета стандартизированной тарифной ставки С3. Строительство кабельных линий</t>
  </si>
  <si>
    <t>КЛ 6-10 кВ</t>
  </si>
  <si>
    <t>Способ прокладки КЛ</t>
  </si>
  <si>
    <t>Тип кабеля</t>
  </si>
  <si>
    <t>Материал изоляции</t>
  </si>
  <si>
    <t>в траншеях</t>
  </si>
  <si>
    <t xml:space="preserve">многожильный </t>
  </si>
  <si>
    <t>бумажная изоляция</t>
  </si>
  <si>
    <t>резиновая и пластмассовая изоляция</t>
  </si>
  <si>
    <t>в лотках</t>
  </si>
  <si>
    <t>200-500 вкл.</t>
  </si>
  <si>
    <t>КЛ 0,4 кВ</t>
  </si>
  <si>
    <t>2015</t>
  </si>
  <si>
    <t>100 - 200 вкл.</t>
  </si>
  <si>
    <t>100 - 200</t>
  </si>
  <si>
    <t>Информация для расчета стандартизированной тарифной ставки С5. 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</si>
  <si>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ТИП</t>
  </si>
  <si>
    <t>Трансформаторная мощность, кВА</t>
  </si>
  <si>
    <t>Объем строительства, шт.</t>
  </si>
  <si>
    <t>Пропускная способность, кВт</t>
  </si>
  <si>
    <t>Величина расходов на строительство ТП в расчете на 1 кВт мощности
(тыс. руб./кВт)</t>
  </si>
  <si>
    <t>Стандартизированная ставка
(руб./кВт)</t>
  </si>
  <si>
    <t>Однотрансформаторные</t>
  </si>
  <si>
    <t>до 25 кВА вкл.</t>
  </si>
  <si>
    <t>25-100 кВА вкл.</t>
  </si>
  <si>
    <t>100-250 кВА вкл.</t>
  </si>
  <si>
    <t>250-500 кВА вкл.</t>
  </si>
  <si>
    <t>500-900 кВА вкл.</t>
  </si>
  <si>
    <t>свыше 900 кВА</t>
  </si>
  <si>
    <t>Двухтрансформаторные</t>
  </si>
  <si>
    <t>Итого (размер необходимой валовой выручки) п.1+п.3</t>
  </si>
  <si>
    <t>1116-1367</t>
  </si>
  <si>
    <t xml:space="preserve">1440-1800 </t>
  </si>
  <si>
    <t>2040-2616</t>
  </si>
  <si>
    <t>37,6-73,32</t>
  </si>
  <si>
    <t>82,34-90,24</t>
  </si>
  <si>
    <t>37,6-73,33</t>
  </si>
  <si>
    <t>82,34-90,25</t>
  </si>
  <si>
    <t>462,0-894,2</t>
  </si>
  <si>
    <t>462,0-894,1</t>
  </si>
  <si>
    <t>462,0-894,0</t>
  </si>
  <si>
    <t>1080-1276</t>
  </si>
  <si>
    <t>1080-1277</t>
  </si>
  <si>
    <t>1080-1278</t>
  </si>
  <si>
    <t>960-1168</t>
  </si>
  <si>
    <t>960-1169</t>
  </si>
  <si>
    <t>960-1170</t>
  </si>
  <si>
    <t>1320-1708</t>
  </si>
  <si>
    <t>1320-1709</t>
  </si>
  <si>
    <t>1320-1710</t>
  </si>
  <si>
    <t>462-894</t>
  </si>
  <si>
    <t>39,9-75,4</t>
  </si>
  <si>
    <t>39,9-75,5</t>
  </si>
  <si>
    <t>39,9-75,6</t>
  </si>
  <si>
    <t>126,5-161,6</t>
  </si>
  <si>
    <t>126,5-161,7</t>
  </si>
  <si>
    <t>126,5-161,8</t>
  </si>
  <si>
    <t>39,9-75,7</t>
  </si>
  <si>
    <t>126,5-161,9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</si>
</sst>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name val="Times New Roman"/>
      <family val="1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left" wrapText="1" indent="2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wrapText="1" indent="1"/>
    </xf>
    <xf numFmtId="0" fontId="0" fillId="0" borderId="1" xfId="0" applyBorder="1" applyAlignment="1">
      <alignment horizontal="left" wrapText="1" indent="3"/>
    </xf>
    <xf numFmtId="0" fontId="0" fillId="0" borderId="1" xfId="0" applyBorder="1" applyAlignment="1">
      <alignment horizontal="left" wrapText="1" indent="4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inden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6" xfId="0" applyFont="1" applyBorder="1"/>
    <xf numFmtId="0" fontId="3" fillId="0" borderId="5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3" fontId="0" fillId="0" borderId="1" xfId="0" applyNumberFormat="1" applyBorder="1"/>
    <xf numFmtId="0" fontId="1" fillId="0" borderId="0" xfId="0" applyFont="1"/>
    <xf numFmtId="164" fontId="0" fillId="2" borderId="1" xfId="0" applyNumberFormat="1" applyFill="1" applyBorder="1"/>
    <xf numFmtId="0" fontId="0" fillId="2" borderId="1" xfId="0" applyFill="1" applyBorder="1" applyAlignment="1">
      <alignment horizontal="left" wrapText="1" indent="1"/>
    </xf>
    <xf numFmtId="0" fontId="0" fillId="2" borderId="1" xfId="0" applyFill="1" applyBorder="1" applyAlignment="1">
      <alignment horizontal="left" wrapText="1" indent="3"/>
    </xf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/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49" fontId="3" fillId="0" borderId="6" xfId="0" applyNumberFormat="1" applyFont="1" applyBorder="1" applyAlignment="1">
      <alignment horizontal="left"/>
    </xf>
    <xf numFmtId="0" fontId="2" fillId="0" borderId="6" xfId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wrapText="1" indent="2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Fill="1" applyBorder="1"/>
    <xf numFmtId="164" fontId="0" fillId="0" borderId="1" xfId="0" applyNumberFormat="1" applyFill="1" applyBorder="1"/>
    <xf numFmtId="164" fontId="6" fillId="0" borderId="1" xfId="0" applyNumberFormat="1" applyFont="1" applyBorder="1"/>
    <xf numFmtId="0" fontId="0" fillId="0" borderId="0" xfId="0" applyAlignment="1">
      <alignment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4" fontId="10" fillId="3" borderId="18" xfId="0" applyNumberFormat="1" applyFont="1" applyFill="1" applyBorder="1" applyAlignment="1">
      <alignment horizontal="right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4" fontId="10" fillId="3" borderId="22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4" fontId="10" fillId="3" borderId="11" xfId="0" applyNumberFormat="1" applyFont="1" applyFill="1" applyBorder="1" applyAlignment="1">
      <alignment horizontal="right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0" fillId="3" borderId="17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/>
    <xf numFmtId="0" fontId="2" fillId="0" borderId="0" xfId="1" applyAlignment="1" applyProtection="1"/>
    <xf numFmtId="0" fontId="10" fillId="0" borderId="0" xfId="0" applyFont="1" applyAlignment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right" vertical="center" wrapText="1"/>
    </xf>
    <xf numFmtId="4" fontId="10" fillId="3" borderId="7" xfId="0" applyNumberFormat="1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4" fontId="10" fillId="3" borderId="13" xfId="0" applyNumberFormat="1" applyFont="1" applyFill="1" applyBorder="1" applyAlignment="1">
      <alignment horizontal="right" vertical="center" wrapText="1"/>
    </xf>
    <xf numFmtId="4" fontId="10" fillId="3" borderId="16" xfId="0" applyNumberFormat="1" applyFont="1" applyFill="1" applyBorder="1" applyAlignment="1">
      <alignment horizontal="right" vertical="center" wrapText="1"/>
    </xf>
    <xf numFmtId="4" fontId="10" fillId="0" borderId="8" xfId="0" applyNumberFormat="1" applyFont="1" applyFill="1" applyBorder="1" applyAlignment="1">
      <alignment horizontal="right" vertical="center" wrapText="1"/>
    </xf>
    <xf numFmtId="4" fontId="10" fillId="0" borderId="7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10" fillId="0" borderId="13" xfId="0" applyNumberFormat="1" applyFont="1" applyFill="1" applyBorder="1" applyAlignment="1">
      <alignment horizontal="right" vertical="center" wrapText="1"/>
    </xf>
    <xf numFmtId="4" fontId="10" fillId="0" borderId="16" xfId="0" applyNumberFormat="1" applyFont="1" applyFill="1" applyBorder="1" applyAlignment="1">
      <alignment horizontal="right" vertical="center" wrapText="1"/>
    </xf>
    <xf numFmtId="4" fontId="10" fillId="0" borderId="7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4" fontId="10" fillId="0" borderId="16" xfId="0" applyNumberFormat="1" applyFont="1" applyFill="1" applyBorder="1" applyAlignment="1">
      <alignment horizontal="right"/>
    </xf>
    <xf numFmtId="0" fontId="10" fillId="0" borderId="10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4" fontId="10" fillId="0" borderId="10" xfId="0" applyNumberFormat="1" applyFont="1" applyFill="1" applyBorder="1" applyAlignment="1">
      <alignment horizontal="right" vertical="center" wrapText="1"/>
    </xf>
    <xf numFmtId="4" fontId="10" fillId="0" borderId="30" xfId="0" applyNumberFormat="1" applyFont="1" applyFill="1" applyBorder="1" applyAlignment="1">
      <alignment horizontal="right" vertical="center" wrapText="1"/>
    </xf>
    <xf numFmtId="4" fontId="10" fillId="0" borderId="11" xfId="0" applyNumberFormat="1" applyFont="1" applyFill="1" applyBorder="1" applyAlignment="1">
      <alignment horizontal="right" vertical="center" wrapText="1"/>
    </xf>
    <xf numFmtId="4" fontId="10" fillId="0" borderId="31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4" fontId="10" fillId="0" borderId="30" xfId="0" applyNumberFormat="1" applyFont="1" applyFill="1" applyBorder="1" applyAlignment="1">
      <alignment horizontal="right" vertical="center"/>
    </xf>
    <xf numFmtId="4" fontId="10" fillId="0" borderId="11" xfId="0" applyNumberFormat="1" applyFont="1" applyFill="1" applyBorder="1" applyAlignment="1">
      <alignment horizontal="right" vertical="center"/>
    </xf>
    <xf numFmtId="4" fontId="10" fillId="0" borderId="17" xfId="0" applyNumberFormat="1" applyFont="1" applyFill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wrapText="1"/>
    </xf>
    <xf numFmtId="164" fontId="9" fillId="0" borderId="0" xfId="0" applyNumberFormat="1" applyFont="1"/>
    <xf numFmtId="0" fontId="18" fillId="0" borderId="0" xfId="0" applyFont="1" applyFill="1" applyBorder="1" applyAlignment="1">
      <alignment vertical="center" wrapText="1"/>
    </xf>
    <xf numFmtId="0" fontId="13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19" fillId="0" borderId="32" xfId="0" applyFont="1" applyFill="1" applyBorder="1" applyAlignment="1">
      <alignment horizontal="center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/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1" fontId="13" fillId="0" borderId="16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4" fontId="14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3" fontId="14" fillId="0" borderId="1" xfId="0" applyNumberFormat="1" applyFont="1" applyFill="1" applyBorder="1" applyAlignment="1">
      <alignment vertical="center"/>
    </xf>
    <xf numFmtId="0" fontId="14" fillId="0" borderId="0" xfId="0" applyFont="1" applyFill="1"/>
    <xf numFmtId="0" fontId="14" fillId="0" borderId="3" xfId="0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4" fontId="14" fillId="0" borderId="29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" fontId="14" fillId="0" borderId="18" xfId="0" applyNumberFormat="1" applyFont="1" applyFill="1" applyBorder="1" applyAlignment="1">
      <alignment horizontal="center" vertical="center"/>
    </xf>
    <xf numFmtId="164" fontId="14" fillId="0" borderId="18" xfId="0" applyNumberFormat="1" applyFont="1" applyFill="1" applyBorder="1" applyAlignment="1">
      <alignment horizontal="center" vertical="center"/>
    </xf>
    <xf numFmtId="4" fontId="14" fillId="0" borderId="22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4" fontId="14" fillId="0" borderId="1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8" fillId="0" borderId="0" xfId="0" applyFont="1" applyFill="1" applyBorder="1"/>
    <xf numFmtId="4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21" fillId="0" borderId="0" xfId="0" applyFont="1" applyFill="1" applyBorder="1"/>
    <xf numFmtId="4" fontId="17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13" fillId="0" borderId="11" xfId="0" applyFont="1" applyFill="1" applyBorder="1" applyAlignment="1">
      <alignment horizontal="center" vertical="center" wrapText="1"/>
    </xf>
    <xf numFmtId="4" fontId="14" fillId="0" borderId="18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4" fontId="6" fillId="0" borderId="0" xfId="0" applyNumberFormat="1" applyFont="1" applyFill="1" applyAlignment="1">
      <alignment horizontal="center" vertical="center"/>
    </xf>
    <xf numFmtId="164" fontId="14" fillId="0" borderId="40" xfId="0" applyNumberFormat="1" applyFont="1" applyFill="1" applyBorder="1" applyAlignment="1">
      <alignment vertical="center"/>
    </xf>
    <xf numFmtId="3" fontId="14" fillId="0" borderId="40" xfId="0" applyNumberFormat="1" applyFont="1" applyFill="1" applyBorder="1" applyAlignment="1">
      <alignment vertical="center"/>
    </xf>
    <xf numFmtId="0" fontId="8" fillId="0" borderId="0" xfId="0" applyFont="1" applyFill="1"/>
    <xf numFmtId="4" fontId="6" fillId="0" borderId="0" xfId="0" applyNumberFormat="1" applyFont="1" applyFill="1"/>
    <xf numFmtId="0" fontId="17" fillId="0" borderId="0" xfId="0" applyFont="1" applyFill="1" applyBorder="1" applyAlignment="1"/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textRotation="90"/>
    </xf>
    <xf numFmtId="0" fontId="13" fillId="0" borderId="44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wrapText="1"/>
    </xf>
    <xf numFmtId="4" fontId="14" fillId="0" borderId="0" xfId="0" applyNumberFormat="1" applyFont="1" applyFill="1" applyBorder="1"/>
    <xf numFmtId="164" fontId="14" fillId="0" borderId="0" xfId="0" applyNumberFormat="1" applyFont="1" applyFill="1" applyBorder="1"/>
    <xf numFmtId="4" fontId="14" fillId="0" borderId="45" xfId="0" applyNumberFormat="1" applyFont="1" applyFill="1" applyBorder="1"/>
    <xf numFmtId="4" fontId="18" fillId="0" borderId="1" xfId="0" applyNumberFormat="1" applyFont="1" applyFill="1" applyBorder="1"/>
    <xf numFmtId="164" fontId="18" fillId="0" borderId="1" xfId="0" applyNumberFormat="1" applyFont="1" applyFill="1" applyBorder="1"/>
    <xf numFmtId="4" fontId="18" fillId="0" borderId="0" xfId="0" applyNumberFormat="1" applyFont="1" applyFill="1" applyBorder="1"/>
    <xf numFmtId="0" fontId="6" fillId="0" borderId="44" xfId="0" applyFont="1" applyFill="1" applyBorder="1"/>
    <xf numFmtId="4" fontId="6" fillId="0" borderId="0" xfId="0" applyNumberFormat="1" applyFont="1" applyFill="1" applyBorder="1"/>
    <xf numFmtId="4" fontId="6" fillId="0" borderId="45" xfId="0" applyNumberFormat="1" applyFont="1" applyFill="1" applyBorder="1"/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164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/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46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vertical="center"/>
    </xf>
    <xf numFmtId="4" fontId="13" fillId="0" borderId="11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4" fontId="13" fillId="0" borderId="46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/>
    <xf numFmtId="0" fontId="0" fillId="2" borderId="1" xfId="0" applyFill="1" applyBorder="1"/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10" fillId="0" borderId="0" xfId="0" applyFont="1" applyAlignment="1">
      <alignment horizontal="left"/>
    </xf>
    <xf numFmtId="0" fontId="10" fillId="0" borderId="18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textRotation="90" wrapText="1"/>
    </xf>
    <xf numFmtId="0" fontId="13" fillId="0" borderId="36" xfId="0" applyFont="1" applyFill="1" applyBorder="1" applyAlignment="1">
      <alignment horizontal="center" vertical="center" textRotation="90" wrapText="1"/>
    </xf>
    <xf numFmtId="0" fontId="13" fillId="0" borderId="37" xfId="0" applyFont="1" applyFill="1" applyBorder="1" applyAlignment="1">
      <alignment horizontal="center" vertical="center" textRotation="90" wrapText="1"/>
    </xf>
    <xf numFmtId="0" fontId="13" fillId="0" borderId="2" xfId="0" applyFont="1" applyFill="1" applyBorder="1" applyAlignment="1">
      <alignment horizontal="center" vertical="center" textRotation="90"/>
    </xf>
    <xf numFmtId="0" fontId="13" fillId="0" borderId="4" xfId="0" applyFont="1" applyFill="1" applyBorder="1" applyAlignment="1">
      <alignment horizontal="center" vertical="center" textRotation="90"/>
    </xf>
    <xf numFmtId="0" fontId="13" fillId="0" borderId="21" xfId="0" applyFont="1" applyFill="1" applyBorder="1" applyAlignment="1">
      <alignment horizontal="center" vertical="center" textRotation="90"/>
    </xf>
    <xf numFmtId="0" fontId="13" fillId="0" borderId="2" xfId="0" applyFont="1" applyFill="1" applyBorder="1" applyAlignment="1">
      <alignment horizontal="center" vertical="center" textRotation="90" wrapText="1"/>
    </xf>
    <xf numFmtId="0" fontId="13" fillId="0" borderId="4" xfId="0" applyFont="1" applyFill="1" applyBorder="1" applyAlignment="1">
      <alignment horizontal="center" vertical="center" textRotation="90" wrapText="1"/>
    </xf>
    <xf numFmtId="0" fontId="13" fillId="0" borderId="21" xfId="0" applyFont="1" applyFill="1" applyBorder="1" applyAlignment="1">
      <alignment horizontal="center" vertical="center" textRotation="90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4" fontId="18" fillId="0" borderId="33" xfId="0" applyNumberFormat="1" applyFont="1" applyFill="1" applyBorder="1" applyAlignment="1">
      <alignment horizontal="center" vertical="center" wrapText="1"/>
    </xf>
    <xf numFmtId="4" fontId="18" fillId="0" borderId="34" xfId="0" applyNumberFormat="1" applyFont="1" applyFill="1" applyBorder="1" applyAlignment="1">
      <alignment horizontal="center" vertical="center" wrapText="1"/>
    </xf>
    <xf numFmtId="4" fontId="18" fillId="0" borderId="23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29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18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13" fillId="0" borderId="18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 vertical="center" textRotation="90" wrapText="1"/>
    </xf>
    <xf numFmtId="4" fontId="13" fillId="0" borderId="38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4" fontId="13" fillId="0" borderId="39" xfId="0" applyNumberFormat="1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wrapText="1"/>
    </xf>
    <xf numFmtId="4" fontId="13" fillId="0" borderId="18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4" fontId="13" fillId="0" borderId="22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textRotation="90"/>
    </xf>
    <xf numFmtId="0" fontId="13" fillId="0" borderId="3" xfId="0" applyFont="1" applyFill="1" applyBorder="1" applyAlignment="1">
      <alignment horizontal="center" vertical="center" textRotation="90"/>
    </xf>
    <xf numFmtId="0" fontId="13" fillId="0" borderId="24" xfId="0" applyFont="1" applyFill="1" applyBorder="1" applyAlignment="1">
      <alignment horizontal="center" vertical="center" textRotation="90" wrapText="1"/>
    </xf>
    <xf numFmtId="0" fontId="13" fillId="0" borderId="8" xfId="0" applyFont="1" applyFill="1" applyBorder="1" applyAlignment="1">
      <alignment horizontal="center" vertical="center" textRotation="90" wrapText="1"/>
    </xf>
    <xf numFmtId="0" fontId="13" fillId="0" borderId="18" xfId="0" applyFont="1" applyFill="1" applyBorder="1" applyAlignment="1">
      <alignment horizontal="center" vertical="center" textRotation="90"/>
    </xf>
    <xf numFmtId="0" fontId="13" fillId="0" borderId="1" xfId="0" applyFont="1" applyFill="1" applyBorder="1" applyAlignment="1">
      <alignment horizontal="center" vertical="center" textRotation="90"/>
    </xf>
    <xf numFmtId="4" fontId="13" fillId="0" borderId="20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/>
    </xf>
    <xf numFmtId="4" fontId="13" fillId="0" borderId="22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62;&#1080;&#1058;/&#1058;&#1077;&#1093;&#1087;&#1088;&#1080;&#1089;&#1086;&#1077;&#1076;&#1080;&#1085;&#1077;&#1085;&#1080;&#1103;/&#1058;&#1077;&#1093;&#1087;&#1088;&#1080;&#1089;&#1086;&#1077;&#1076;&#1080;&#1085;&#1077;&#1085;&#1080;&#1103;%202019/&#1053;&#1072;&#1087;&#1088;&#1072;&#1074;&#1083;&#1077;&#1085;&#1086;%20&#1085;&#1072;%20&#1089;&#1086;&#1075;&#1083;&#1072;&#1089;&#1086;&#1074;&#1072;&#1085;&#1080;&#1077;%20&#1074;%20&#1044;&#1056;&#1057;&#1050;/&#1061;&#1069;&#1057;%20&#1048;&#1085;&#1092;&#1086;&#1088;&#1084;&#1072;&#1094;&#1080;&#1103;%20&#1076;&#1083;&#1103;%20&#1088;&#1072;&#1089;&#1095;&#1077;&#1090;&#1072;%20&#1089;&#1090;&#1072;&#1074;&#1086;&#1082;%20&#1058;&#1055;&#1088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1 (Прил2)"/>
      <sheetName val="С1 (Прил3)"/>
      <sheetName val="С2 (ВЛ)"/>
      <sheetName val="С3 (КЛ)"/>
      <sheetName val="С5 (ТП)"/>
      <sheetName val="ИПЦ"/>
      <sheetName val="ИЦП"/>
    </sheetNames>
    <sheetDataSet>
      <sheetData sheetId="0">
        <row r="11">
          <cell r="F11">
            <v>4848.1768918503612</v>
          </cell>
          <cell r="J11">
            <v>6633.0892082973623</v>
          </cell>
        </row>
        <row r="12">
          <cell r="F12">
            <v>6118.7671730883785</v>
          </cell>
          <cell r="J12">
            <v>8387.8072728113348</v>
          </cell>
        </row>
      </sheetData>
      <sheetData sheetId="1">
        <row r="13">
          <cell r="J13">
            <v>18403.401088081893</v>
          </cell>
          <cell r="N13">
            <v>11364.142334546814</v>
          </cell>
        </row>
      </sheetData>
      <sheetData sheetId="2"/>
      <sheetData sheetId="3"/>
      <sheetData sheetId="4"/>
      <sheetData sheetId="5">
        <row r="10">
          <cell r="C10">
            <v>107.06098089640108</v>
          </cell>
          <cell r="D10">
            <v>103.85113807510544</v>
          </cell>
          <cell r="E10">
            <v>103.74660828449372</v>
          </cell>
          <cell r="F10">
            <v>104.00565607014261</v>
          </cell>
        </row>
      </sheetData>
      <sheetData sheetId="6">
        <row r="94">
          <cell r="B94">
            <v>105.28</v>
          </cell>
          <cell r="C94">
            <v>106.39520377077498</v>
          </cell>
          <cell r="D94">
            <v>105.00186974684689</v>
          </cell>
          <cell r="E94">
            <v>104.69610363690099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c@khab.drsk.ru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3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16"/>
  <sheetViews>
    <sheetView view="pageBreakPreview" zoomScaleNormal="100" zoomScaleSheetLayoutView="100" workbookViewId="0">
      <selection activeCell="H20" sqref="H20"/>
    </sheetView>
  </sheetViews>
  <sheetFormatPr defaultColWidth="9.140625" defaultRowHeight="16.5" x14ac:dyDescent="0.25"/>
  <cols>
    <col min="1" max="2" width="11.42578125" style="11" customWidth="1"/>
    <col min="3" max="3" width="15.28515625" style="11" customWidth="1"/>
    <col min="4" max="7" width="9.140625" style="11"/>
    <col min="8" max="8" width="10.7109375" style="11" customWidth="1"/>
    <col min="9" max="16384" width="9.140625" style="11"/>
  </cols>
  <sheetData>
    <row r="2" spans="1:8" x14ac:dyDescent="0.25">
      <c r="A2" s="198" t="s">
        <v>74</v>
      </c>
      <c r="B2" s="198"/>
      <c r="C2" s="198"/>
      <c r="D2" s="198"/>
      <c r="E2" s="198"/>
      <c r="F2" s="198"/>
      <c r="G2" s="198"/>
      <c r="H2" s="198"/>
    </row>
    <row r="3" spans="1:8" x14ac:dyDescent="0.25">
      <c r="A3" s="198" t="s">
        <v>75</v>
      </c>
      <c r="B3" s="198"/>
      <c r="C3" s="198"/>
      <c r="D3" s="198"/>
      <c r="E3" s="198"/>
      <c r="F3" s="198"/>
      <c r="G3" s="198"/>
      <c r="H3" s="198"/>
    </row>
    <row r="4" spans="1:8" x14ac:dyDescent="0.25">
      <c r="A4" s="198" t="s">
        <v>102</v>
      </c>
      <c r="B4" s="198"/>
      <c r="C4" s="198"/>
      <c r="D4" s="198"/>
      <c r="E4" s="198"/>
      <c r="F4" s="198"/>
      <c r="G4" s="198"/>
      <c r="H4" s="198"/>
    </row>
    <row r="5" spans="1:8" x14ac:dyDescent="0.25">
      <c r="A5" s="198" t="s">
        <v>0</v>
      </c>
      <c r="B5" s="198"/>
      <c r="C5" s="198"/>
      <c r="D5" s="198"/>
      <c r="E5" s="198"/>
      <c r="F5" s="198"/>
    </row>
    <row r="7" spans="1:8" ht="64.5" customHeight="1" x14ac:dyDescent="0.25">
      <c r="A7" s="12" t="s">
        <v>76</v>
      </c>
      <c r="D7" s="197" t="s">
        <v>96</v>
      </c>
      <c r="E7" s="197"/>
      <c r="F7" s="197"/>
      <c r="G7" s="197"/>
      <c r="H7" s="197"/>
    </row>
    <row r="8" spans="1:8" ht="23.45" customHeight="1" x14ac:dyDescent="0.25">
      <c r="A8" s="12" t="s">
        <v>77</v>
      </c>
      <c r="D8" s="13" t="s">
        <v>97</v>
      </c>
      <c r="E8" s="13"/>
      <c r="F8" s="13"/>
      <c r="G8" s="13"/>
      <c r="H8" s="13"/>
    </row>
    <row r="9" spans="1:8" ht="48.75" customHeight="1" x14ac:dyDescent="0.25">
      <c r="A9" s="199" t="s">
        <v>78</v>
      </c>
      <c r="B9" s="199"/>
      <c r="C9" s="199"/>
      <c r="D9" s="197" t="s">
        <v>98</v>
      </c>
      <c r="E9" s="197"/>
      <c r="F9" s="197"/>
      <c r="G9" s="197"/>
      <c r="H9" s="197"/>
    </row>
    <row r="10" spans="1:8" ht="33" customHeight="1" x14ac:dyDescent="0.25">
      <c r="A10" s="12" t="s">
        <v>79</v>
      </c>
      <c r="D10" s="197" t="s">
        <v>86</v>
      </c>
      <c r="E10" s="197"/>
      <c r="F10" s="197"/>
      <c r="G10" s="197"/>
      <c r="H10" s="197"/>
    </row>
    <row r="11" spans="1:8" x14ac:dyDescent="0.25">
      <c r="A11" s="11" t="s">
        <v>80</v>
      </c>
      <c r="B11" s="29"/>
      <c r="C11" s="30"/>
      <c r="D11" s="31" t="s">
        <v>87</v>
      </c>
      <c r="E11" s="14"/>
      <c r="F11" s="14"/>
      <c r="G11" s="14"/>
      <c r="H11" s="14"/>
    </row>
    <row r="12" spans="1:8" x14ac:dyDescent="0.25">
      <c r="A12" s="11" t="s">
        <v>81</v>
      </c>
      <c r="B12" s="29"/>
      <c r="C12" s="30"/>
      <c r="D12" s="29" t="s">
        <v>88</v>
      </c>
      <c r="E12" s="13"/>
      <c r="F12" s="13"/>
      <c r="G12" s="13"/>
      <c r="H12" s="13"/>
    </row>
    <row r="13" spans="1:8" x14ac:dyDescent="0.25">
      <c r="A13" s="11" t="s">
        <v>82</v>
      </c>
      <c r="D13" s="13" t="s">
        <v>99</v>
      </c>
      <c r="E13" s="13"/>
      <c r="F13" s="13"/>
      <c r="G13" s="13"/>
      <c r="H13" s="13"/>
    </row>
    <row r="14" spans="1:8" x14ac:dyDescent="0.25">
      <c r="A14" s="11" t="s">
        <v>83</v>
      </c>
      <c r="D14" s="32" t="s">
        <v>89</v>
      </c>
      <c r="E14" s="13"/>
      <c r="F14" s="13"/>
      <c r="G14" s="13"/>
      <c r="H14" s="13"/>
    </row>
    <row r="15" spans="1:8" ht="23.45" customHeight="1" x14ac:dyDescent="0.25">
      <c r="A15" s="11" t="s">
        <v>84</v>
      </c>
      <c r="D15" s="13" t="s">
        <v>100</v>
      </c>
      <c r="E15" s="13"/>
      <c r="F15" s="13"/>
      <c r="G15" s="13"/>
      <c r="H15" s="13"/>
    </row>
    <row r="16" spans="1:8" ht="26.45" customHeight="1" x14ac:dyDescent="0.25">
      <c r="A16" s="11" t="s">
        <v>85</v>
      </c>
      <c r="B16" s="30"/>
      <c r="C16" s="30"/>
      <c r="D16" s="14" t="s">
        <v>101</v>
      </c>
      <c r="E16" s="14"/>
      <c r="F16" s="14"/>
      <c r="G16" s="14"/>
      <c r="H16" s="14"/>
    </row>
  </sheetData>
  <customSheetViews>
    <customSheetView guid="{590CC574-4B1C-4AB8-AB4D-7FAB395FC0A2}" showPageBreaks="1" fitToPage="1" view="pageBreakPreview">
      <selection activeCell="L5" sqref="L5"/>
      <pageMargins left="0.98425196850393704" right="0.11811023622047245" top="0.78740157480314965" bottom="0.78740157480314965" header="0" footer="0"/>
      <pageSetup paperSize="9" orientation="portrait" r:id="rId1"/>
    </customSheetView>
    <customSheetView guid="{1F1EC9A1-559B-45BE-A366-DE40EA2885B6}" showPageBreaks="1" fitToPage="1" view="pageBreakPreview">
      <selection activeCell="N7" sqref="N7"/>
      <pageMargins left="0.98425196850393704" right="0.11811023622047245" top="0.78740157480314965" bottom="0.78740157480314965" header="0" footer="0"/>
      <pageSetup paperSize="9" orientation="portrait" r:id="rId2"/>
    </customSheetView>
  </customSheetViews>
  <mergeCells count="8">
    <mergeCell ref="D10:H10"/>
    <mergeCell ref="A2:H2"/>
    <mergeCell ref="A3:H3"/>
    <mergeCell ref="A4:H4"/>
    <mergeCell ref="A5:F5"/>
    <mergeCell ref="D7:H7"/>
    <mergeCell ref="D9:H9"/>
    <mergeCell ref="A9:C9"/>
  </mergeCells>
  <hyperlinks>
    <hyperlink ref="D14" r:id="rId3"/>
  </hyperlinks>
  <pageMargins left="0.98425196850393704" right="0.11811023622047245" top="0.78740157480314965" bottom="0.78740157480314965" header="0" footer="0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view="pageBreakPreview" zoomScale="60" zoomScaleNormal="100" workbookViewId="0">
      <selection activeCell="I24" sqref="I24:K27"/>
    </sheetView>
  </sheetViews>
  <sheetFormatPr defaultRowHeight="15" outlineLevelRow="1" x14ac:dyDescent="0.25"/>
  <cols>
    <col min="1" max="1" width="19" style="112" customWidth="1"/>
    <col min="2" max="2" width="12.28515625" style="112" customWidth="1"/>
    <col min="3" max="3" width="18" style="112" customWidth="1"/>
    <col min="4" max="4" width="14.42578125" style="112" customWidth="1"/>
    <col min="5" max="5" width="17.5703125" style="112" customWidth="1"/>
    <col min="6" max="14" width="14.42578125" style="154" customWidth="1"/>
    <col min="15" max="17" width="17.28515625" style="154" customWidth="1"/>
    <col min="18" max="18" width="9.140625" style="112"/>
    <col min="19" max="21" width="15.140625" style="112" customWidth="1"/>
    <col min="22" max="22" width="26.42578125" style="112" customWidth="1"/>
    <col min="23" max="23" width="31.5703125" style="112" customWidth="1"/>
    <col min="24" max="30" width="12.85546875" style="112" customWidth="1"/>
    <col min="31" max="16384" width="9.140625" style="112"/>
  </cols>
  <sheetData>
    <row r="1" spans="1:30" s="107" customFormat="1" ht="18.75" x14ac:dyDescent="0.25">
      <c r="A1" s="259" t="s">
        <v>163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1:30" s="107" customFormat="1" ht="15.75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0" ht="18.75" x14ac:dyDescent="0.3">
      <c r="A3" s="260" t="s">
        <v>193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159"/>
      <c r="S3" s="159"/>
      <c r="T3" s="159"/>
      <c r="U3" s="159"/>
      <c r="V3" s="159"/>
      <c r="W3" s="159"/>
      <c r="X3" s="159"/>
    </row>
    <row r="4" spans="1:30" ht="15.75" thickBot="1" x14ac:dyDescent="0.3"/>
    <row r="5" spans="1:30" s="107" customFormat="1" ht="16.5" thickBot="1" x14ac:dyDescent="0.3">
      <c r="A5" s="288" t="s">
        <v>165</v>
      </c>
      <c r="B5" s="289"/>
      <c r="C5" s="289"/>
      <c r="D5" s="289"/>
      <c r="E5" s="290"/>
      <c r="F5" s="264" t="s">
        <v>194</v>
      </c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6"/>
      <c r="R5" s="111"/>
    </row>
    <row r="6" spans="1:30" ht="30" x14ac:dyDescent="0.25">
      <c r="A6" s="291" t="s">
        <v>167</v>
      </c>
      <c r="B6" s="292" t="s">
        <v>195</v>
      </c>
      <c r="C6" s="282" t="s">
        <v>196</v>
      </c>
      <c r="D6" s="282" t="s">
        <v>197</v>
      </c>
      <c r="E6" s="282" t="s">
        <v>171</v>
      </c>
      <c r="F6" s="293" t="s">
        <v>172</v>
      </c>
      <c r="G6" s="293"/>
      <c r="H6" s="293"/>
      <c r="I6" s="293" t="s">
        <v>173</v>
      </c>
      <c r="J6" s="293"/>
      <c r="K6" s="293"/>
      <c r="L6" s="293" t="s">
        <v>174</v>
      </c>
      <c r="M6" s="293"/>
      <c r="N6" s="293"/>
      <c r="O6" s="294" t="s">
        <v>175</v>
      </c>
      <c r="P6" s="294"/>
      <c r="Q6" s="295"/>
      <c r="S6" s="271" t="s">
        <v>176</v>
      </c>
      <c r="T6" s="275"/>
      <c r="U6" s="275"/>
      <c r="V6" s="48" t="s">
        <v>177</v>
      </c>
      <c r="W6" s="160" t="s">
        <v>178</v>
      </c>
    </row>
    <row r="7" spans="1:30" x14ac:dyDescent="0.25">
      <c r="A7" s="268"/>
      <c r="B7" s="270"/>
      <c r="C7" s="271"/>
      <c r="D7" s="271"/>
      <c r="E7" s="271"/>
      <c r="F7" s="113">
        <v>2015</v>
      </c>
      <c r="G7" s="113">
        <v>2016</v>
      </c>
      <c r="H7" s="113">
        <v>2017</v>
      </c>
      <c r="I7" s="113">
        <v>2015</v>
      </c>
      <c r="J7" s="113">
        <v>2016</v>
      </c>
      <c r="K7" s="113">
        <v>2017</v>
      </c>
      <c r="L7" s="113">
        <v>2015</v>
      </c>
      <c r="M7" s="113">
        <v>2016</v>
      </c>
      <c r="N7" s="113">
        <v>2017</v>
      </c>
      <c r="O7" s="113">
        <v>2015</v>
      </c>
      <c r="P7" s="113">
        <v>2016</v>
      </c>
      <c r="Q7" s="115">
        <v>2017</v>
      </c>
      <c r="S7" s="49">
        <v>2015</v>
      </c>
      <c r="T7" s="49">
        <v>2016</v>
      </c>
      <c r="U7" s="49">
        <v>2017</v>
      </c>
      <c r="V7" s="49" t="s">
        <v>179</v>
      </c>
      <c r="W7" s="49">
        <v>2019</v>
      </c>
    </row>
    <row r="8" spans="1:30" x14ac:dyDescent="0.25">
      <c r="A8" s="296" t="s">
        <v>180</v>
      </c>
      <c r="B8" s="250" t="s">
        <v>198</v>
      </c>
      <c r="C8" s="256" t="s">
        <v>199</v>
      </c>
      <c r="D8" s="271" t="s">
        <v>200</v>
      </c>
      <c r="E8" s="116" t="s">
        <v>184</v>
      </c>
      <c r="F8" s="132"/>
      <c r="G8" s="132"/>
      <c r="H8" s="132"/>
      <c r="I8" s="132" t="s">
        <v>231</v>
      </c>
      <c r="J8" s="132" t="s">
        <v>232</v>
      </c>
      <c r="K8" s="132" t="s">
        <v>233</v>
      </c>
      <c r="L8" s="133"/>
      <c r="M8" s="133"/>
      <c r="N8" s="133"/>
      <c r="O8" s="132"/>
      <c r="P8" s="132"/>
      <c r="Q8" s="134"/>
      <c r="S8" s="52">
        <f>IF(F8=0, ,L8/(F8/1000))</f>
        <v>0</v>
      </c>
      <c r="T8" s="52">
        <f t="shared" ref="T8:U16" si="0">IF(G8=0, ,M8/(G8/1000))</f>
        <v>0</v>
      </c>
      <c r="U8" s="52">
        <f t="shared" si="0"/>
        <v>0</v>
      </c>
      <c r="V8" s="122">
        <f>COUNTIF(S8:U8,"&lt;&gt;0")</f>
        <v>0</v>
      </c>
      <c r="W8" s="52" t="e">
        <f>(S8*([1]ИЦП!$B$94/100)*([1]ИЦП!$C$94/100)+T8*[1]ИЦП!$C$94/100+U8)/V8*([1]ИЦП!$D$94/100)*([1]ИЦП!$E$94/100)*1000</f>
        <v>#DIV/0!</v>
      </c>
    </row>
    <row r="9" spans="1:30" x14ac:dyDescent="0.25">
      <c r="A9" s="296"/>
      <c r="B9" s="251"/>
      <c r="C9" s="257"/>
      <c r="D9" s="271"/>
      <c r="E9" s="116" t="s">
        <v>185</v>
      </c>
      <c r="F9" s="132">
        <v>2109</v>
      </c>
      <c r="G9" s="132"/>
      <c r="H9" s="132"/>
      <c r="I9" s="132" t="s">
        <v>234</v>
      </c>
      <c r="J9" s="132" t="s">
        <v>235</v>
      </c>
      <c r="K9" s="132" t="s">
        <v>236</v>
      </c>
      <c r="L9" s="133">
        <v>3855.1060000000002</v>
      </c>
      <c r="M9" s="133"/>
      <c r="N9" s="133"/>
      <c r="O9" s="132">
        <v>1200</v>
      </c>
      <c r="P9" s="132"/>
      <c r="Q9" s="134"/>
      <c r="S9" s="52">
        <f t="shared" ref="S9:S16" si="1">IF(F9=0, ,L9/(F9/1000))</f>
        <v>1827.9307728781414</v>
      </c>
      <c r="T9" s="52">
        <f t="shared" si="0"/>
        <v>0</v>
      </c>
      <c r="U9" s="52">
        <f t="shared" si="0"/>
        <v>0</v>
      </c>
      <c r="V9" s="122">
        <f t="shared" ref="V9:V16" si="2">COUNTIF(S9:U9,"&lt;&gt;0")</f>
        <v>1</v>
      </c>
      <c r="W9" s="52">
        <f>(S9*([1]ИЦП!$B$94/100)*([1]ИЦП!$C$94/100)+T9*[1]ИЦП!$C$94/100+U9)/V9*([1]ИЦП!$D$94/100)*([1]ИЦП!$E$94/100)*1000</f>
        <v>2250894.930039857</v>
      </c>
    </row>
    <row r="10" spans="1:30" x14ac:dyDescent="0.25">
      <c r="A10" s="296"/>
      <c r="B10" s="251"/>
      <c r="C10" s="257"/>
      <c r="D10" s="256" t="s">
        <v>201</v>
      </c>
      <c r="E10" s="116" t="s">
        <v>185</v>
      </c>
      <c r="F10" s="132"/>
      <c r="G10" s="132"/>
      <c r="H10" s="132">
        <v>163</v>
      </c>
      <c r="I10" s="132" t="s">
        <v>237</v>
      </c>
      <c r="J10" s="132" t="s">
        <v>238</v>
      </c>
      <c r="K10" s="132" t="s">
        <v>239</v>
      </c>
      <c r="L10" s="133"/>
      <c r="M10" s="133"/>
      <c r="N10" s="133">
        <v>626.15300000000002</v>
      </c>
      <c r="O10" s="132"/>
      <c r="P10" s="132"/>
      <c r="Q10" s="134">
        <v>315</v>
      </c>
      <c r="S10" s="52">
        <f t="shared" si="1"/>
        <v>0</v>
      </c>
      <c r="T10" s="52">
        <f t="shared" si="0"/>
        <v>0</v>
      </c>
      <c r="U10" s="52">
        <f t="shared" si="0"/>
        <v>3841.4294478527609</v>
      </c>
      <c r="V10" s="122">
        <f t="shared" si="2"/>
        <v>1</v>
      </c>
      <c r="W10" s="52">
        <f>(S10*([1]ИЦП!$B$94/100)*([1]ИЦП!$C$94/100)+T10*[1]ИЦП!$C$94/100+U10)/V10*([1]ИЦП!$D$94/100)*([1]ИЦП!$E$94/100)*1000</f>
        <v>4222993.5016381722</v>
      </c>
    </row>
    <row r="11" spans="1:30" x14ac:dyDescent="0.25">
      <c r="A11" s="296"/>
      <c r="B11" s="297"/>
      <c r="C11" s="258"/>
      <c r="D11" s="258"/>
      <c r="E11" s="116" t="s">
        <v>186</v>
      </c>
      <c r="F11" s="132"/>
      <c r="G11" s="132"/>
      <c r="H11" s="132">
        <v>255</v>
      </c>
      <c r="I11" s="132" t="s">
        <v>240</v>
      </c>
      <c r="J11" s="132" t="s">
        <v>241</v>
      </c>
      <c r="K11" s="132" t="s">
        <v>242</v>
      </c>
      <c r="L11" s="133"/>
      <c r="M11" s="133"/>
      <c r="N11" s="133">
        <v>327.84100000000001</v>
      </c>
      <c r="O11" s="132"/>
      <c r="P11" s="132"/>
      <c r="Q11" s="134">
        <v>15</v>
      </c>
      <c r="S11" s="52">
        <f t="shared" si="1"/>
        <v>0</v>
      </c>
      <c r="T11" s="52">
        <f t="shared" si="0"/>
        <v>0</v>
      </c>
      <c r="U11" s="52">
        <f t="shared" si="0"/>
        <v>1285.650980392157</v>
      </c>
      <c r="V11" s="122">
        <f t="shared" si="2"/>
        <v>1</v>
      </c>
      <c r="W11" s="52">
        <f>(S11*([1]ИЦП!$B$94/100)*([1]ИЦП!$C$94/100)+T11*[1]ИЦП!$C$94/100+U11)/V11*([1]ИЦП!$D$94/100)*([1]ИЦП!$E$94/100)*1000</f>
        <v>1413352.9742699377</v>
      </c>
    </row>
    <row r="12" spans="1:30" ht="45.75" thickBot="1" x14ac:dyDescent="0.3">
      <c r="A12" s="296"/>
      <c r="B12" s="161" t="s">
        <v>202</v>
      </c>
      <c r="C12" s="48" t="s">
        <v>199</v>
      </c>
      <c r="D12" s="48" t="s">
        <v>200</v>
      </c>
      <c r="E12" s="116" t="s">
        <v>184</v>
      </c>
      <c r="F12" s="132"/>
      <c r="G12" s="132"/>
      <c r="H12" s="132"/>
      <c r="I12" s="132" t="s">
        <v>243</v>
      </c>
      <c r="J12" s="132" t="s">
        <v>243</v>
      </c>
      <c r="K12" s="132" t="s">
        <v>243</v>
      </c>
      <c r="L12" s="133"/>
      <c r="M12" s="133"/>
      <c r="N12" s="133"/>
      <c r="O12" s="132"/>
      <c r="P12" s="132"/>
      <c r="Q12" s="134"/>
      <c r="S12" s="52">
        <f t="shared" si="1"/>
        <v>0</v>
      </c>
      <c r="T12" s="52">
        <f t="shared" si="0"/>
        <v>0</v>
      </c>
      <c r="U12" s="52">
        <f t="shared" si="0"/>
        <v>0</v>
      </c>
      <c r="V12" s="122">
        <f t="shared" si="2"/>
        <v>0</v>
      </c>
      <c r="W12" s="52" t="e">
        <f>(S12*([1]ИЦП!$B$94/100)*([1]ИЦП!$C$94/100)+T12*[1]ИЦП!$C$94/100+U12)/V12*([1]ИЦП!$D$94/100)*([1]ИЦП!$E$94/100)*1000</f>
        <v>#DIV/0!</v>
      </c>
    </row>
    <row r="13" spans="1:30" x14ac:dyDescent="0.25">
      <c r="A13" s="298" t="s">
        <v>188</v>
      </c>
      <c r="B13" s="300" t="s">
        <v>198</v>
      </c>
      <c r="C13" s="282" t="s">
        <v>199</v>
      </c>
      <c r="D13" s="282" t="s">
        <v>200</v>
      </c>
      <c r="E13" s="128" t="s">
        <v>184</v>
      </c>
      <c r="F13" s="129">
        <v>198</v>
      </c>
      <c r="G13" s="129"/>
      <c r="H13" s="129"/>
      <c r="I13" s="129" t="s">
        <v>243</v>
      </c>
      <c r="J13" s="129" t="s">
        <v>243</v>
      </c>
      <c r="K13" s="129" t="s">
        <v>243</v>
      </c>
      <c r="L13" s="130">
        <v>269.05500000000001</v>
      </c>
      <c r="M13" s="130"/>
      <c r="N13" s="130"/>
      <c r="O13" s="129">
        <v>151</v>
      </c>
      <c r="P13" s="129"/>
      <c r="Q13" s="131"/>
      <c r="S13" s="52">
        <f t="shared" si="1"/>
        <v>1358.8636363636363</v>
      </c>
      <c r="T13" s="52">
        <f t="shared" si="0"/>
        <v>0</v>
      </c>
      <c r="U13" s="52">
        <f t="shared" si="0"/>
        <v>0</v>
      </c>
      <c r="V13" s="122">
        <f t="shared" si="2"/>
        <v>1</v>
      </c>
      <c r="W13" s="52">
        <f>(S13*([1]ИЦП!$B$94/100)*([1]ИЦП!$C$94/100)+T13*[1]ИЦП!$C$94/100+U13)/V13*([1]ИЦП!$D$94/100)*([1]ИЦП!$E$94/100)*1000</f>
        <v>1673290.5398219572</v>
      </c>
    </row>
    <row r="14" spans="1:30" x14ac:dyDescent="0.25">
      <c r="A14" s="299"/>
      <c r="B14" s="301"/>
      <c r="C14" s="271"/>
      <c r="D14" s="271"/>
      <c r="E14" s="116" t="s">
        <v>185</v>
      </c>
      <c r="F14" s="132"/>
      <c r="G14" s="132">
        <v>80</v>
      </c>
      <c r="H14" s="132"/>
      <c r="I14" s="132" t="s">
        <v>234</v>
      </c>
      <c r="J14" s="132" t="s">
        <v>235</v>
      </c>
      <c r="K14" s="132" t="s">
        <v>236</v>
      </c>
      <c r="L14" s="133"/>
      <c r="M14" s="133">
        <v>247.70500000000001</v>
      </c>
      <c r="N14" s="133"/>
      <c r="O14" s="132"/>
      <c r="P14" s="132">
        <v>150</v>
      </c>
      <c r="Q14" s="134"/>
      <c r="S14" s="52">
        <f t="shared" si="1"/>
        <v>0</v>
      </c>
      <c r="T14" s="52">
        <f t="shared" si="0"/>
        <v>3096.3125</v>
      </c>
      <c r="U14" s="52">
        <f t="shared" si="0"/>
        <v>0</v>
      </c>
      <c r="V14" s="122">
        <f t="shared" si="2"/>
        <v>1</v>
      </c>
      <c r="W14" s="52">
        <f>(S14*([1]ИЦП!$B$94/100)*([1]ИЦП!$C$94/100)+T14*[1]ИЦП!$C$94/100+U14)/V14*([1]ИЦП!$D$94/100)*([1]ИЦП!$E$94/100)*1000</f>
        <v>3621549.1911919187</v>
      </c>
    </row>
    <row r="15" spans="1:30" x14ac:dyDescent="0.25">
      <c r="A15" s="299"/>
      <c r="B15" s="301" t="s">
        <v>202</v>
      </c>
      <c r="C15" s="271" t="s">
        <v>199</v>
      </c>
      <c r="D15" s="271" t="s">
        <v>200</v>
      </c>
      <c r="E15" s="116" t="s">
        <v>186</v>
      </c>
      <c r="F15" s="132"/>
      <c r="G15" s="132"/>
      <c r="H15" s="132"/>
      <c r="I15" s="132" t="s">
        <v>240</v>
      </c>
      <c r="J15" s="132" t="s">
        <v>241</v>
      </c>
      <c r="K15" s="132" t="s">
        <v>242</v>
      </c>
      <c r="L15" s="133"/>
      <c r="M15" s="133"/>
      <c r="N15" s="133"/>
      <c r="O15" s="132"/>
      <c r="P15" s="132"/>
      <c r="Q15" s="134"/>
      <c r="S15" s="52">
        <f t="shared" si="1"/>
        <v>0</v>
      </c>
      <c r="T15" s="52">
        <f t="shared" si="0"/>
        <v>0</v>
      </c>
      <c r="U15" s="52">
        <f t="shared" si="0"/>
        <v>0</v>
      </c>
      <c r="V15" s="122">
        <f t="shared" si="2"/>
        <v>0</v>
      </c>
      <c r="W15" s="52" t="e">
        <f>(S15*([1]ИЦП!$B$94/100)*([1]ИЦП!$C$94/100)+T15*[1]ИЦП!$C$94/100+U15)/V15*([1]ИЦП!$D$94/100)*([1]ИЦП!$E$94/100)*1000</f>
        <v>#DIV/0!</v>
      </c>
    </row>
    <row r="16" spans="1:30" x14ac:dyDescent="0.25">
      <c r="A16" s="299"/>
      <c r="B16" s="301"/>
      <c r="C16" s="271"/>
      <c r="D16" s="271"/>
      <c r="E16" s="116" t="s">
        <v>203</v>
      </c>
      <c r="F16" s="132"/>
      <c r="G16" s="132">
        <v>82</v>
      </c>
      <c r="H16" s="132"/>
      <c r="I16" s="132">
        <v>2008</v>
      </c>
      <c r="J16" s="132">
        <v>2009</v>
      </c>
      <c r="K16" s="132">
        <v>2010</v>
      </c>
      <c r="L16" s="133"/>
      <c r="M16" s="133">
        <v>141.47499999999999</v>
      </c>
      <c r="N16" s="133"/>
      <c r="O16" s="132"/>
      <c r="P16" s="132">
        <v>630</v>
      </c>
      <c r="Q16" s="134"/>
      <c r="S16" s="52">
        <f t="shared" si="1"/>
        <v>0</v>
      </c>
      <c r="T16" s="52">
        <f t="shared" si="0"/>
        <v>1725.3048780487804</v>
      </c>
      <c r="U16" s="52">
        <f t="shared" si="0"/>
        <v>0</v>
      </c>
      <c r="V16" s="122">
        <f t="shared" si="2"/>
        <v>1</v>
      </c>
      <c r="W16" s="52">
        <f>(S16*([1]ИЦП!$B$94/100)*([1]ИЦП!$C$94/100)+T16*[1]ИЦП!$C$94/100+U16)/V16*([1]ИЦП!$D$94/100)*([1]ИЦП!$E$94/100)*1000</f>
        <v>2017973.4718821284</v>
      </c>
    </row>
    <row r="17" spans="1:23" x14ac:dyDescent="0.25">
      <c r="A17" s="162"/>
      <c r="B17" s="163"/>
      <c r="C17" s="163"/>
      <c r="D17" s="137"/>
      <c r="E17" s="164"/>
      <c r="F17" s="165"/>
      <c r="G17" s="165"/>
      <c r="H17" s="165"/>
      <c r="I17" s="165"/>
      <c r="J17" s="165"/>
      <c r="K17" s="165"/>
      <c r="L17" s="166"/>
      <c r="M17" s="166"/>
      <c r="N17" s="166"/>
      <c r="O17" s="165"/>
      <c r="P17" s="165"/>
      <c r="Q17" s="167"/>
    </row>
    <row r="18" spans="1:23" ht="15.75" hidden="1" outlineLevel="1" x14ac:dyDescent="0.25">
      <c r="A18" s="162"/>
      <c r="B18" s="163"/>
      <c r="C18" s="163"/>
      <c r="D18" s="137"/>
      <c r="E18" s="164" t="s">
        <v>189</v>
      </c>
      <c r="F18" s="168">
        <f>F8+F9+F10+F11+F12+F13+F14+F15+F16</f>
        <v>2307</v>
      </c>
      <c r="G18" s="168">
        <f t="shared" ref="G18:Q18" si="3">G8+G9+G10+G11+G12+G13+G14+G15+G16</f>
        <v>162</v>
      </c>
      <c r="H18" s="168">
        <f t="shared" si="3"/>
        <v>418</v>
      </c>
      <c r="I18" s="168" t="e">
        <f t="shared" si="3"/>
        <v>#VALUE!</v>
      </c>
      <c r="J18" s="168" t="e">
        <f t="shared" si="3"/>
        <v>#VALUE!</v>
      </c>
      <c r="K18" s="168" t="e">
        <f t="shared" si="3"/>
        <v>#VALUE!</v>
      </c>
      <c r="L18" s="169">
        <f t="shared" si="3"/>
        <v>4124.1610000000001</v>
      </c>
      <c r="M18" s="169">
        <f t="shared" si="3"/>
        <v>389.18</v>
      </c>
      <c r="N18" s="169">
        <f t="shared" si="3"/>
        <v>953.99400000000003</v>
      </c>
      <c r="O18" s="168">
        <f t="shared" si="3"/>
        <v>1351</v>
      </c>
      <c r="P18" s="168">
        <f t="shared" si="3"/>
        <v>780</v>
      </c>
      <c r="Q18" s="168">
        <f t="shared" si="3"/>
        <v>330</v>
      </c>
    </row>
    <row r="19" spans="1:23" ht="15.75" hidden="1" outlineLevel="1" x14ac:dyDescent="0.25">
      <c r="A19" s="162"/>
      <c r="B19" s="163"/>
      <c r="C19" s="163"/>
      <c r="D19" s="137"/>
      <c r="E19" s="164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</row>
    <row r="20" spans="1:23" ht="15.75" collapsed="1" thickBot="1" x14ac:dyDescent="0.3">
      <c r="A20" s="171"/>
      <c r="B20" s="146"/>
      <c r="C20" s="146"/>
      <c r="D20" s="146"/>
      <c r="E20" s="146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3"/>
    </row>
    <row r="21" spans="1:23" ht="16.5" thickBot="1" x14ac:dyDescent="0.3">
      <c r="A21" s="288" t="s">
        <v>165</v>
      </c>
      <c r="B21" s="289"/>
      <c r="C21" s="289"/>
      <c r="D21" s="289"/>
      <c r="E21" s="290"/>
      <c r="F21" s="264" t="s">
        <v>204</v>
      </c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6"/>
    </row>
    <row r="22" spans="1:23" ht="30" customHeight="1" x14ac:dyDescent="0.25">
      <c r="A22" s="267" t="s">
        <v>167</v>
      </c>
      <c r="B22" s="258" t="s">
        <v>195</v>
      </c>
      <c r="C22" s="258" t="s">
        <v>196</v>
      </c>
      <c r="D22" s="258" t="s">
        <v>197</v>
      </c>
      <c r="E22" s="258" t="s">
        <v>171</v>
      </c>
      <c r="F22" s="272" t="s">
        <v>172</v>
      </c>
      <c r="G22" s="272"/>
      <c r="H22" s="272"/>
      <c r="I22" s="272" t="s">
        <v>173</v>
      </c>
      <c r="J22" s="272"/>
      <c r="K22" s="272"/>
      <c r="L22" s="272" t="s">
        <v>174</v>
      </c>
      <c r="M22" s="272"/>
      <c r="N22" s="272"/>
      <c r="O22" s="302" t="s">
        <v>175</v>
      </c>
      <c r="P22" s="303"/>
      <c r="Q22" s="304"/>
      <c r="S22" s="271" t="s">
        <v>176</v>
      </c>
      <c r="T22" s="275"/>
      <c r="U22" s="275"/>
      <c r="V22" s="48" t="s">
        <v>177</v>
      </c>
      <c r="W22" s="160" t="s">
        <v>178</v>
      </c>
    </row>
    <row r="23" spans="1:23" x14ac:dyDescent="0.25">
      <c r="A23" s="268"/>
      <c r="B23" s="271"/>
      <c r="C23" s="271"/>
      <c r="D23" s="271"/>
      <c r="E23" s="271"/>
      <c r="F23" s="174" t="s">
        <v>205</v>
      </c>
      <c r="G23" s="174">
        <v>2016</v>
      </c>
      <c r="H23" s="174">
        <v>2017</v>
      </c>
      <c r="I23" s="174">
        <v>2015</v>
      </c>
      <c r="J23" s="174">
        <v>2016</v>
      </c>
      <c r="K23" s="174">
        <v>2017</v>
      </c>
      <c r="L23" s="174">
        <v>2015</v>
      </c>
      <c r="M23" s="174">
        <v>2016</v>
      </c>
      <c r="N23" s="174">
        <v>2017</v>
      </c>
      <c r="O23" s="174">
        <v>2015</v>
      </c>
      <c r="P23" s="174">
        <v>2016</v>
      </c>
      <c r="Q23" s="175">
        <v>2017</v>
      </c>
      <c r="S23" s="49">
        <v>2015</v>
      </c>
      <c r="T23" s="49">
        <v>2016</v>
      </c>
      <c r="U23" s="49">
        <v>2017</v>
      </c>
      <c r="V23" s="49" t="s">
        <v>179</v>
      </c>
      <c r="W23" s="49">
        <v>2019</v>
      </c>
    </row>
    <row r="24" spans="1:23" x14ac:dyDescent="0.25">
      <c r="A24" s="299" t="s">
        <v>180</v>
      </c>
      <c r="B24" s="301" t="s">
        <v>198</v>
      </c>
      <c r="C24" s="271" t="s">
        <v>199</v>
      </c>
      <c r="D24" s="271" t="s">
        <v>200</v>
      </c>
      <c r="E24" s="116" t="s">
        <v>184</v>
      </c>
      <c r="F24" s="132"/>
      <c r="G24" s="132"/>
      <c r="H24" s="132"/>
      <c r="I24" s="132" t="s">
        <v>244</v>
      </c>
      <c r="J24" s="132" t="s">
        <v>245</v>
      </c>
      <c r="K24" s="132" t="s">
        <v>246</v>
      </c>
      <c r="L24" s="132"/>
      <c r="M24" s="132"/>
      <c r="N24" s="132"/>
      <c r="O24" s="132"/>
      <c r="P24" s="132"/>
      <c r="Q24" s="132"/>
      <c r="S24" s="52">
        <f>IF(F24=0, ,L24/(F24/1000))</f>
        <v>0</v>
      </c>
      <c r="T24" s="52">
        <f t="shared" ref="T24:U27" si="4">IF(G24=0, ,M24/(G24/1000))</f>
        <v>0</v>
      </c>
      <c r="U24" s="52">
        <f t="shared" si="4"/>
        <v>0</v>
      </c>
      <c r="V24" s="122">
        <f t="shared" ref="V24:V27" si="5">COUNTIF(S24:U24,"&lt;&gt;0")</f>
        <v>0</v>
      </c>
      <c r="W24" s="52" t="e">
        <f>(S24*([1]ИЦП!$B$94/100)*([1]ИЦП!$C$94/100)+T24*[1]ИЦП!$C$94/100+U24)/V24*([1]ИЦП!$D$94/100)*([1]ИЦП!$E$94/100)*1000</f>
        <v>#DIV/0!</v>
      </c>
    </row>
    <row r="25" spans="1:23" ht="15.75" thickBot="1" x14ac:dyDescent="0.3">
      <c r="A25" s="299"/>
      <c r="B25" s="301"/>
      <c r="C25" s="271"/>
      <c r="D25" s="271"/>
      <c r="E25" s="116" t="s">
        <v>206</v>
      </c>
      <c r="F25" s="132"/>
      <c r="G25" s="132"/>
      <c r="H25" s="132"/>
      <c r="I25" s="132" t="s">
        <v>247</v>
      </c>
      <c r="J25" s="132" t="s">
        <v>248</v>
      </c>
      <c r="K25" s="132" t="s">
        <v>249</v>
      </c>
      <c r="L25" s="132"/>
      <c r="M25" s="132"/>
      <c r="N25" s="132"/>
      <c r="O25" s="132"/>
      <c r="P25" s="132"/>
      <c r="Q25" s="132"/>
      <c r="S25" s="52">
        <f t="shared" ref="S25:S27" si="6">IF(F25=0, ,L25/(F25/1000))</f>
        <v>0</v>
      </c>
      <c r="T25" s="52">
        <f t="shared" si="4"/>
        <v>0</v>
      </c>
      <c r="U25" s="52">
        <f t="shared" si="4"/>
        <v>0</v>
      </c>
      <c r="V25" s="122">
        <f t="shared" si="5"/>
        <v>0</v>
      </c>
      <c r="W25" s="52" t="e">
        <f>(S25*([1]ИЦП!$B$94/100)*([1]ИЦП!$C$94/100)+T25*[1]ИЦП!$C$94/100+U25)/V25*([1]ИЦП!$D$94/100)*([1]ИЦП!$E$94/100)*1000</f>
        <v>#DIV/0!</v>
      </c>
    </row>
    <row r="26" spans="1:23" x14ac:dyDescent="0.25">
      <c r="A26" s="298" t="s">
        <v>188</v>
      </c>
      <c r="B26" s="300" t="s">
        <v>198</v>
      </c>
      <c r="C26" s="282" t="s">
        <v>199</v>
      </c>
      <c r="D26" s="282" t="s">
        <v>200</v>
      </c>
      <c r="E26" s="128" t="s">
        <v>184</v>
      </c>
      <c r="F26" s="129"/>
      <c r="G26" s="129"/>
      <c r="H26" s="129"/>
      <c r="I26" s="129" t="s">
        <v>245</v>
      </c>
      <c r="J26" s="129" t="s">
        <v>246</v>
      </c>
      <c r="K26" s="129" t="s">
        <v>250</v>
      </c>
      <c r="L26" s="129"/>
      <c r="M26" s="129"/>
      <c r="N26" s="129"/>
      <c r="O26" s="129"/>
      <c r="P26" s="129"/>
      <c r="Q26" s="129"/>
      <c r="S26" s="52">
        <f t="shared" si="6"/>
        <v>0</v>
      </c>
      <c r="T26" s="52">
        <f t="shared" si="4"/>
        <v>0</v>
      </c>
      <c r="U26" s="52">
        <f t="shared" si="4"/>
        <v>0</v>
      </c>
      <c r="V26" s="122">
        <f t="shared" si="5"/>
        <v>0</v>
      </c>
      <c r="W26" s="52" t="e">
        <f>(S26*([1]ИЦП!$B$94/100)*([1]ИЦП!$C$94/100)+T26*[1]ИЦП!$C$94/100+U26)/V26*([1]ИЦП!$D$94/100)*([1]ИЦП!$E$94/100)*1000</f>
        <v>#DIV/0!</v>
      </c>
    </row>
    <row r="27" spans="1:23" x14ac:dyDescent="0.25">
      <c r="A27" s="299"/>
      <c r="B27" s="301"/>
      <c r="C27" s="271"/>
      <c r="D27" s="271"/>
      <c r="E27" s="116" t="s">
        <v>207</v>
      </c>
      <c r="F27" s="132">
        <v>84</v>
      </c>
      <c r="G27" s="132"/>
      <c r="H27" s="132"/>
      <c r="I27" s="132" t="s">
        <v>248</v>
      </c>
      <c r="J27" s="132" t="s">
        <v>249</v>
      </c>
      <c r="K27" s="132" t="s">
        <v>251</v>
      </c>
      <c r="L27" s="132">
        <v>178.76</v>
      </c>
      <c r="M27" s="132"/>
      <c r="N27" s="132"/>
      <c r="O27" s="132">
        <v>151</v>
      </c>
      <c r="P27" s="132"/>
      <c r="Q27" s="132"/>
      <c r="S27" s="52">
        <f t="shared" si="6"/>
        <v>2128.0952380952381</v>
      </c>
      <c r="T27" s="52">
        <f t="shared" si="4"/>
        <v>0</v>
      </c>
      <c r="U27" s="52">
        <f t="shared" si="4"/>
        <v>0</v>
      </c>
      <c r="V27" s="122">
        <f t="shared" si="5"/>
        <v>1</v>
      </c>
      <c r="W27" s="52">
        <f>(S27*([1]ИЦП!$B$94/100)*([1]ИЦП!$C$94/100)+T27*[1]ИЦП!$C$94/100+U27)/V27*([1]ИЦП!$D$94/100)*([1]ИЦП!$E$94/100)*1000</f>
        <v>2620514.3286298113</v>
      </c>
    </row>
    <row r="28" spans="1:23" hidden="1" outlineLevel="1" x14ac:dyDescent="0.25"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S28" s="155"/>
      <c r="T28" s="155"/>
      <c r="U28" s="155"/>
      <c r="V28" s="156"/>
      <c r="W28" s="155"/>
    </row>
    <row r="29" spans="1:23" ht="15.75" hidden="1" outlineLevel="1" x14ac:dyDescent="0.25">
      <c r="E29" s="176" t="s">
        <v>189</v>
      </c>
      <c r="F29" s="168">
        <f>F24+F25+F26+F27</f>
        <v>84</v>
      </c>
      <c r="G29" s="168">
        <f t="shared" ref="G29:Q29" si="7">G24+G25+G26+G27</f>
        <v>0</v>
      </c>
      <c r="H29" s="168">
        <f t="shared" si="7"/>
        <v>0</v>
      </c>
      <c r="I29" s="168" t="e">
        <f t="shared" si="7"/>
        <v>#VALUE!</v>
      </c>
      <c r="J29" s="168" t="e">
        <f t="shared" si="7"/>
        <v>#VALUE!</v>
      </c>
      <c r="K29" s="168" t="e">
        <f t="shared" si="7"/>
        <v>#VALUE!</v>
      </c>
      <c r="L29" s="168">
        <f t="shared" si="7"/>
        <v>178.76</v>
      </c>
      <c r="M29" s="168">
        <f t="shared" si="7"/>
        <v>0</v>
      </c>
      <c r="N29" s="168">
        <f t="shared" si="7"/>
        <v>0</v>
      </c>
      <c r="O29" s="168">
        <f t="shared" si="7"/>
        <v>151</v>
      </c>
      <c r="P29" s="168">
        <f t="shared" si="7"/>
        <v>0</v>
      </c>
      <c r="Q29" s="168">
        <f t="shared" si="7"/>
        <v>0</v>
      </c>
      <c r="R29" s="107"/>
      <c r="S29" s="177"/>
      <c r="T29" s="177"/>
      <c r="U29" s="177"/>
      <c r="V29" s="178"/>
      <c r="W29" s="177"/>
    </row>
    <row r="30" spans="1:23" ht="15.75" hidden="1" outlineLevel="1" x14ac:dyDescent="0.25">
      <c r="E30" s="176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07"/>
      <c r="S30" s="177"/>
      <c r="T30" s="177"/>
      <c r="U30" s="177"/>
      <c r="V30" s="178"/>
      <c r="W30" s="177"/>
    </row>
    <row r="31" spans="1:23" ht="15.75" collapsed="1" x14ac:dyDescent="0.25">
      <c r="E31" s="176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07"/>
      <c r="S31" s="177"/>
      <c r="T31" s="177"/>
      <c r="U31" s="177"/>
      <c r="V31" s="178"/>
      <c r="W31" s="177"/>
    </row>
    <row r="32" spans="1:23" x14ac:dyDescent="0.25">
      <c r="S32" s="177"/>
      <c r="T32" s="177"/>
      <c r="U32" s="177"/>
      <c r="V32" s="178"/>
      <c r="W32" s="177"/>
    </row>
  </sheetData>
  <mergeCells count="46">
    <mergeCell ref="A26:A27"/>
    <mergeCell ref="B26:B27"/>
    <mergeCell ref="C26:C27"/>
    <mergeCell ref="D26:D27"/>
    <mergeCell ref="O22:Q22"/>
    <mergeCell ref="S22:U22"/>
    <mergeCell ref="A24:A25"/>
    <mergeCell ref="B24:B25"/>
    <mergeCell ref="C24:C25"/>
    <mergeCell ref="D24:D25"/>
    <mergeCell ref="A21:E21"/>
    <mergeCell ref="F21:Q21"/>
    <mergeCell ref="A22:A23"/>
    <mergeCell ref="B22:B23"/>
    <mergeCell ref="C22:C23"/>
    <mergeCell ref="D22:D23"/>
    <mergeCell ref="E22:E23"/>
    <mergeCell ref="F22:H22"/>
    <mergeCell ref="I22:K22"/>
    <mergeCell ref="L22:N22"/>
    <mergeCell ref="A13:A16"/>
    <mergeCell ref="B13:B14"/>
    <mergeCell ref="C13:C14"/>
    <mergeCell ref="D13:D14"/>
    <mergeCell ref="B15:B16"/>
    <mergeCell ref="C15:C16"/>
    <mergeCell ref="D15:D16"/>
    <mergeCell ref="S6:U6"/>
    <mergeCell ref="A8:A12"/>
    <mergeCell ref="B8:B11"/>
    <mergeCell ref="C8:C11"/>
    <mergeCell ref="D8:D9"/>
    <mergeCell ref="D10:D11"/>
    <mergeCell ref="A1:Q1"/>
    <mergeCell ref="A3:Q3"/>
    <mergeCell ref="A5:E5"/>
    <mergeCell ref="F5:Q5"/>
    <mergeCell ref="A6:A7"/>
    <mergeCell ref="B6:B7"/>
    <mergeCell ref="C6:C7"/>
    <mergeCell ref="D6:D7"/>
    <mergeCell ref="E6:E7"/>
    <mergeCell ref="F6:H6"/>
    <mergeCell ref="I6:K6"/>
    <mergeCell ref="L6:N6"/>
    <mergeCell ref="O6:Q6"/>
  </mergeCells>
  <pageMargins left="0.70866141732283472" right="0.70866141732283472" top="0.74803149606299213" bottom="0.74803149606299213" header="0.31496062992125984" footer="0.31496062992125984"/>
  <pageSetup paperSize="9" scale="49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"/>
  <sheetViews>
    <sheetView view="pageBreakPreview" zoomScale="60" zoomScaleNormal="100" workbookViewId="0">
      <selection activeCell="I7" sqref="I7:K43"/>
    </sheetView>
  </sheetViews>
  <sheetFormatPr defaultRowHeight="15" outlineLevelRow="1" x14ac:dyDescent="0.25"/>
  <cols>
    <col min="1" max="1" width="12.42578125" style="112" customWidth="1"/>
    <col min="2" max="2" width="6.7109375" style="112" customWidth="1"/>
    <col min="3" max="3" width="33.42578125" style="112" customWidth="1"/>
    <col min="4" max="4" width="14.42578125" style="112" customWidth="1"/>
    <col min="5" max="5" width="18.85546875" style="112" customWidth="1"/>
    <col min="6" max="14" width="14.42578125" style="154" customWidth="1"/>
    <col min="15" max="17" width="17.28515625" style="154" customWidth="1"/>
    <col min="18" max="18" width="9.140625" style="112"/>
    <col min="19" max="21" width="15.140625" style="112" customWidth="1"/>
    <col min="22" max="22" width="26.42578125" style="112" customWidth="1"/>
    <col min="23" max="23" width="31.5703125" style="112" customWidth="1"/>
    <col min="24" max="30" width="12.85546875" style="112" customWidth="1"/>
    <col min="31" max="16384" width="9.140625" style="112"/>
  </cols>
  <sheetData>
    <row r="1" spans="1:30" s="107" customFormat="1" ht="48.75" customHeight="1" x14ac:dyDescent="0.25">
      <c r="A1" s="259" t="s">
        <v>163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1:30" s="107" customFormat="1" ht="18.7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0" ht="41.25" customHeight="1" x14ac:dyDescent="0.3">
      <c r="A3" s="305" t="s">
        <v>208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</row>
    <row r="4" spans="1:30" ht="15.75" thickBot="1" x14ac:dyDescent="0.3"/>
    <row r="5" spans="1:30" ht="90" customHeight="1" x14ac:dyDescent="0.25">
      <c r="A5" s="306" t="s">
        <v>167</v>
      </c>
      <c r="B5" s="307"/>
      <c r="C5" s="307"/>
      <c r="D5" s="282" t="s">
        <v>209</v>
      </c>
      <c r="E5" s="282" t="s">
        <v>210</v>
      </c>
      <c r="F5" s="293" t="s">
        <v>211</v>
      </c>
      <c r="G5" s="293"/>
      <c r="H5" s="293"/>
      <c r="I5" s="293" t="s">
        <v>212</v>
      </c>
      <c r="J5" s="293"/>
      <c r="K5" s="293"/>
      <c r="L5" s="310" t="s">
        <v>174</v>
      </c>
      <c r="M5" s="310"/>
      <c r="N5" s="310"/>
      <c r="O5" s="310" t="s">
        <v>175</v>
      </c>
      <c r="P5" s="310"/>
      <c r="Q5" s="311"/>
      <c r="S5" s="271" t="s">
        <v>213</v>
      </c>
      <c r="T5" s="275"/>
      <c r="U5" s="275"/>
      <c r="V5" s="48" t="s">
        <v>177</v>
      </c>
      <c r="W5" s="48" t="s">
        <v>214</v>
      </c>
    </row>
    <row r="6" spans="1:30" ht="15.75" thickBot="1" x14ac:dyDescent="0.3">
      <c r="A6" s="308"/>
      <c r="B6" s="309"/>
      <c r="C6" s="309"/>
      <c r="D6" s="256"/>
      <c r="E6" s="256"/>
      <c r="F6" s="180">
        <v>2015</v>
      </c>
      <c r="G6" s="180">
        <v>2016</v>
      </c>
      <c r="H6" s="180">
        <v>2017</v>
      </c>
      <c r="I6" s="180">
        <v>2015</v>
      </c>
      <c r="J6" s="180">
        <v>2016</v>
      </c>
      <c r="K6" s="180">
        <v>2017</v>
      </c>
      <c r="L6" s="180">
        <v>2015</v>
      </c>
      <c r="M6" s="180">
        <v>2016</v>
      </c>
      <c r="N6" s="180">
        <v>2017</v>
      </c>
      <c r="O6" s="180">
        <v>2015</v>
      </c>
      <c r="P6" s="180">
        <v>2016</v>
      </c>
      <c r="Q6" s="181">
        <v>2017</v>
      </c>
      <c r="S6" s="49">
        <v>2015</v>
      </c>
      <c r="T6" s="49">
        <v>2016</v>
      </c>
      <c r="U6" s="49">
        <v>2017</v>
      </c>
      <c r="V6" s="49" t="s">
        <v>179</v>
      </c>
      <c r="W6" s="49">
        <v>2019</v>
      </c>
    </row>
    <row r="7" spans="1:30" x14ac:dyDescent="0.25">
      <c r="A7" s="312" t="s">
        <v>180</v>
      </c>
      <c r="B7" s="313"/>
      <c r="C7" s="314"/>
      <c r="D7" s="282" t="s">
        <v>215</v>
      </c>
      <c r="E7" s="128" t="s">
        <v>216</v>
      </c>
      <c r="F7" s="129">
        <f t="shared" ref="F7:Q7" si="0">F8</f>
        <v>0</v>
      </c>
      <c r="G7" s="129">
        <f t="shared" si="0"/>
        <v>1</v>
      </c>
      <c r="H7" s="129">
        <f t="shared" si="0"/>
        <v>4</v>
      </c>
      <c r="I7" s="129">
        <v>0</v>
      </c>
      <c r="J7" s="129">
        <v>23</v>
      </c>
      <c r="K7" s="129">
        <v>23</v>
      </c>
      <c r="L7" s="129">
        <f t="shared" si="0"/>
        <v>0</v>
      </c>
      <c r="M7" s="129">
        <f t="shared" si="0"/>
        <v>413.58800000000002</v>
      </c>
      <c r="N7" s="129">
        <f t="shared" si="0"/>
        <v>910.39599999999996</v>
      </c>
      <c r="O7" s="129">
        <f t="shared" si="0"/>
        <v>0</v>
      </c>
      <c r="P7" s="129">
        <f t="shared" si="0"/>
        <v>1</v>
      </c>
      <c r="Q7" s="129">
        <f t="shared" si="0"/>
        <v>43</v>
      </c>
      <c r="S7" s="52">
        <f>S8</f>
        <v>0</v>
      </c>
      <c r="T7" s="52">
        <f t="shared" ref="T7:U7" si="1">T8</f>
        <v>17.59948936170213</v>
      </c>
      <c r="U7" s="52">
        <f t="shared" si="1"/>
        <v>9.685063829787234</v>
      </c>
      <c r="V7" s="122">
        <f>COUNTIF(S7:U7,"&lt;&gt;0")</f>
        <v>2</v>
      </c>
      <c r="W7" s="52">
        <f>(S7*([1]ИЦП!$B$94/100)*([1]ИЦП!$C$94/100)+T7*[1]ИЦП!$C$94/100+U7)/V7*([1]ИЦП!$D$94/100)*([1]ИЦП!$E$94/100)*1000</f>
        <v>15616.005661665897</v>
      </c>
    </row>
    <row r="8" spans="1:30" x14ac:dyDescent="0.25">
      <c r="A8" s="315"/>
      <c r="B8" s="316"/>
      <c r="C8" s="317"/>
      <c r="D8" s="271"/>
      <c r="E8" s="48">
        <v>25</v>
      </c>
      <c r="F8" s="182"/>
      <c r="G8" s="182">
        <v>1</v>
      </c>
      <c r="H8" s="182">
        <v>4</v>
      </c>
      <c r="I8" s="182"/>
      <c r="J8" s="182">
        <v>23</v>
      </c>
      <c r="K8" s="182">
        <v>23</v>
      </c>
      <c r="L8" s="182"/>
      <c r="M8" s="182">
        <f>413588/1000</f>
        <v>413.58800000000002</v>
      </c>
      <c r="N8" s="182">
        <v>910.39599999999996</v>
      </c>
      <c r="O8" s="182"/>
      <c r="P8" s="182">
        <v>1</v>
      </c>
      <c r="Q8" s="183">
        <v>43</v>
      </c>
      <c r="S8" s="58">
        <f>IF(F8=0, ,L8/F8/($E$8*0.94))</f>
        <v>0</v>
      </c>
      <c r="T8" s="58">
        <f t="shared" ref="T8:U8" si="2">IF(G8=0, ,M8/G8/($E$8*0.94))</f>
        <v>17.59948936170213</v>
      </c>
      <c r="U8" s="58">
        <f t="shared" si="2"/>
        <v>9.685063829787234</v>
      </c>
      <c r="V8" s="184">
        <f t="shared" ref="V8:V43" si="3">COUNTIF(S8:U8,"&lt;&gt;0")</f>
        <v>2</v>
      </c>
      <c r="W8" s="58">
        <f>(S8*([1]ИЦП!$B$94/100)*([1]ИЦП!$C$94/100)+T8*[1]ИЦП!$C$94/100+U8)/V8*([1]ИЦП!$D$94/100)*([1]ИЦП!$E$94/100)*1000</f>
        <v>15616.005661665897</v>
      </c>
    </row>
    <row r="9" spans="1:30" x14ac:dyDescent="0.25">
      <c r="A9" s="315"/>
      <c r="B9" s="316"/>
      <c r="C9" s="317"/>
      <c r="D9" s="271"/>
      <c r="E9" s="116" t="s">
        <v>217</v>
      </c>
      <c r="F9" s="132">
        <f t="shared" ref="F9:G9" si="4">SUM(F10:F12)</f>
        <v>1</v>
      </c>
      <c r="G9" s="132">
        <f t="shared" si="4"/>
        <v>1</v>
      </c>
      <c r="H9" s="132">
        <f t="shared" ref="H9:Q9" si="5">SUM(H10:H12)</f>
        <v>1</v>
      </c>
      <c r="I9" s="132">
        <v>92</v>
      </c>
      <c r="J9" s="132">
        <v>36.799999999999997</v>
      </c>
      <c r="K9" s="132">
        <v>36.799999999999997</v>
      </c>
      <c r="L9" s="132">
        <f t="shared" si="5"/>
        <v>424.01</v>
      </c>
      <c r="M9" s="132">
        <f t="shared" si="5"/>
        <v>562.202</v>
      </c>
      <c r="N9" s="132">
        <f t="shared" si="5"/>
        <v>466.983</v>
      </c>
      <c r="O9" s="132">
        <f t="shared" si="5"/>
        <v>15</v>
      </c>
      <c r="P9" s="132">
        <f t="shared" si="5"/>
        <v>15</v>
      </c>
      <c r="Q9" s="132">
        <f t="shared" si="5"/>
        <v>15</v>
      </c>
      <c r="S9" s="52">
        <f>S12</f>
        <v>4.5107446808510634</v>
      </c>
      <c r="T9" s="52">
        <f>T10</f>
        <v>14.952180851063831</v>
      </c>
      <c r="U9" s="52">
        <f>U10</f>
        <v>12.419760638297875</v>
      </c>
      <c r="V9" s="122">
        <f t="shared" si="3"/>
        <v>3</v>
      </c>
      <c r="W9" s="52">
        <f>(S9*([1]ИЦП!$B$94/100)*([1]ИЦП!$C$94/100)+T9*[1]ИЦП!$C$94/100+U9)/V9*([1]ИЦП!$D$94/100)*([1]ИЦП!$E$94/100)*1000</f>
        <v>12232.148882139838</v>
      </c>
    </row>
    <row r="10" spans="1:30" x14ac:dyDescent="0.25">
      <c r="A10" s="315"/>
      <c r="B10" s="316"/>
      <c r="C10" s="317"/>
      <c r="D10" s="271"/>
      <c r="E10" s="48">
        <v>40</v>
      </c>
      <c r="F10" s="182"/>
      <c r="G10" s="182">
        <v>1</v>
      </c>
      <c r="H10" s="182">
        <v>1</v>
      </c>
      <c r="I10" s="182"/>
      <c r="J10" s="182">
        <v>36.799999999999997</v>
      </c>
      <c r="K10" s="182">
        <v>36.799999999999997</v>
      </c>
      <c r="L10" s="182"/>
      <c r="M10" s="182">
        <f>562202/1000</f>
        <v>562.202</v>
      </c>
      <c r="N10" s="182">
        <v>466.983</v>
      </c>
      <c r="O10" s="182"/>
      <c r="P10" s="182">
        <v>15</v>
      </c>
      <c r="Q10" s="183">
        <v>15</v>
      </c>
      <c r="S10" s="58">
        <f>IF(F10=0, ,L10/F10/($E$10*0.94))</f>
        <v>0</v>
      </c>
      <c r="T10" s="58">
        <f t="shared" ref="T10:U10" si="6">IF(G10=0, ,M10/G10/($E$10*0.94))</f>
        <v>14.952180851063831</v>
      </c>
      <c r="U10" s="58">
        <f t="shared" si="6"/>
        <v>12.419760638297875</v>
      </c>
      <c r="V10" s="184">
        <f t="shared" si="3"/>
        <v>2</v>
      </c>
      <c r="W10" s="58">
        <f>(S10*([1]ИЦП!$B$94/100)*([1]ИЦП!$C$94/100)+T10*[1]ИЦП!$C$94/100+U10)/V10*([1]ИЦП!$D$94/100)*([1]ИЦП!$E$94/100)*1000</f>
        <v>15570.981295371548</v>
      </c>
    </row>
    <row r="11" spans="1:30" x14ac:dyDescent="0.25">
      <c r="A11" s="315"/>
      <c r="B11" s="316"/>
      <c r="C11" s="317"/>
      <c r="D11" s="271"/>
      <c r="E11" s="48">
        <v>63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3"/>
      <c r="S11" s="58">
        <f>IF(F11=0, ,L11/F11/($E$11*0.94))</f>
        <v>0</v>
      </c>
      <c r="T11" s="58">
        <f t="shared" ref="T11:U11" si="7">IF(G11=0, ,M11/G11/($E$11*0.94))</f>
        <v>0</v>
      </c>
      <c r="U11" s="58">
        <f t="shared" si="7"/>
        <v>0</v>
      </c>
      <c r="V11" s="184">
        <f t="shared" si="3"/>
        <v>0</v>
      </c>
      <c r="W11" s="58" t="e">
        <f>(S11*([1]ИЦП!$B$94/100)*([1]ИЦП!$C$94/100)+T11*[1]ИЦП!$C$94/100+U11)/V11*([1]ИЦП!$D$94/100)*([1]ИЦП!$E$94/100)*1000</f>
        <v>#DIV/0!</v>
      </c>
    </row>
    <row r="12" spans="1:30" x14ac:dyDescent="0.25">
      <c r="A12" s="315"/>
      <c r="B12" s="316"/>
      <c r="C12" s="317"/>
      <c r="D12" s="271"/>
      <c r="E12" s="48">
        <v>100</v>
      </c>
      <c r="F12" s="182">
        <v>1</v>
      </c>
      <c r="G12" s="182"/>
      <c r="H12" s="182"/>
      <c r="I12" s="182">
        <v>92</v>
      </c>
      <c r="J12" s="182"/>
      <c r="K12" s="182"/>
      <c r="L12" s="182">
        <f>424010/1000</f>
        <v>424.01</v>
      </c>
      <c r="M12" s="182"/>
      <c r="N12" s="182"/>
      <c r="O12" s="182">
        <v>15</v>
      </c>
      <c r="P12" s="182"/>
      <c r="Q12" s="183"/>
      <c r="S12" s="58">
        <f>IF(F12=0, ,L12/F12/($E$12*0.94))</f>
        <v>4.5107446808510634</v>
      </c>
      <c r="T12" s="58">
        <f t="shared" ref="T12:U12" si="8">IF(G12=0, ,M12/G12/($E$12*0.94))</f>
        <v>0</v>
      </c>
      <c r="U12" s="58">
        <f t="shared" si="8"/>
        <v>0</v>
      </c>
      <c r="V12" s="184">
        <f t="shared" si="3"/>
        <v>1</v>
      </c>
      <c r="W12" s="58">
        <f>(S12*([1]ИЦП!$B$94/100)*([1]ИЦП!$C$94/100)+T12*[1]ИЦП!$C$94/100+U12)/V12*([1]ИЦП!$D$94/100)*([1]ИЦП!$E$94/100)*1000</f>
        <v>5554.4840556764193</v>
      </c>
    </row>
    <row r="13" spans="1:30" x14ac:dyDescent="0.25">
      <c r="A13" s="315"/>
      <c r="B13" s="316"/>
      <c r="C13" s="317"/>
      <c r="D13" s="271"/>
      <c r="E13" s="116" t="s">
        <v>218</v>
      </c>
      <c r="F13" s="132">
        <f t="shared" ref="F13:G13" si="9">SUM(F14:F15)</f>
        <v>3</v>
      </c>
      <c r="G13" s="132">
        <f t="shared" si="9"/>
        <v>2</v>
      </c>
      <c r="H13" s="132">
        <f t="shared" ref="H13:Q13" si="10">SUM(H14:H15)</f>
        <v>1</v>
      </c>
      <c r="I13" s="132">
        <v>377.2</v>
      </c>
      <c r="J13" s="132">
        <v>230</v>
      </c>
      <c r="K13" s="132">
        <v>230</v>
      </c>
      <c r="L13" s="132">
        <f t="shared" si="10"/>
        <v>4109.25227</v>
      </c>
      <c r="M13" s="132">
        <f t="shared" si="10"/>
        <v>1040.6990000000001</v>
      </c>
      <c r="N13" s="132">
        <f t="shared" si="10"/>
        <v>483.05700000000002</v>
      </c>
      <c r="O13" s="132">
        <f t="shared" si="10"/>
        <v>201.5</v>
      </c>
      <c r="P13" s="132">
        <f t="shared" si="10"/>
        <v>15</v>
      </c>
      <c r="Q13" s="132">
        <f t="shared" si="10"/>
        <v>10</v>
      </c>
      <c r="S13" s="52">
        <f>AVERAGE(S14:S15)</f>
        <v>6.7122692486702134</v>
      </c>
      <c r="T13" s="52">
        <f>T15</f>
        <v>2.2142531914893619</v>
      </c>
      <c r="U13" s="52">
        <f>U15</f>
        <v>2.0555617021276595</v>
      </c>
      <c r="V13" s="122">
        <f t="shared" si="3"/>
        <v>3</v>
      </c>
      <c r="W13" s="52">
        <f>(S13*([1]ИЦП!$B$94/100)*([1]ИЦП!$C$94/100)+T13*[1]ИЦП!$C$94/100+U13)/V13*([1]ИЦП!$D$94/100)*([1]ИЦП!$E$94/100)*1000</f>
        <v>4371.6733122407322</v>
      </c>
    </row>
    <row r="14" spans="1:30" x14ac:dyDescent="0.25">
      <c r="A14" s="315"/>
      <c r="B14" s="316"/>
      <c r="C14" s="317"/>
      <c r="D14" s="271"/>
      <c r="E14" s="48">
        <v>160</v>
      </c>
      <c r="F14" s="182">
        <v>1</v>
      </c>
      <c r="G14" s="182"/>
      <c r="H14" s="182"/>
      <c r="I14" s="182">
        <v>147.19999999999999</v>
      </c>
      <c r="J14" s="182"/>
      <c r="K14" s="182"/>
      <c r="L14" s="182">
        <f>1035426.27/1000</f>
        <v>1035.4262699999999</v>
      </c>
      <c r="M14" s="182"/>
      <c r="N14" s="182"/>
      <c r="O14" s="182">
        <v>15</v>
      </c>
      <c r="P14" s="182"/>
      <c r="Q14" s="183"/>
      <c r="S14" s="58">
        <f>IF(F14=0, ,L14/F14/($E$14*0.94))</f>
        <v>6.8844831781914904</v>
      </c>
      <c r="T14" s="58">
        <f t="shared" ref="T14:U14" si="11">IF(G14=0, ,M14/G14/($E$14*0.94))</f>
        <v>0</v>
      </c>
      <c r="U14" s="58">
        <f t="shared" si="11"/>
        <v>0</v>
      </c>
      <c r="V14" s="184">
        <f t="shared" si="3"/>
        <v>1</v>
      </c>
      <c r="W14" s="58">
        <f>(S14*([1]ИЦП!$B$94/100)*([1]ИЦП!$C$94/100)+T14*[1]ИЦП!$C$94/100+U14)/V14*([1]ИЦП!$D$94/100)*([1]ИЦП!$E$94/100)*1000</f>
        <v>8477.4809372766995</v>
      </c>
    </row>
    <row r="15" spans="1:30" x14ac:dyDescent="0.25">
      <c r="A15" s="315"/>
      <c r="B15" s="316"/>
      <c r="C15" s="317"/>
      <c r="D15" s="271"/>
      <c r="E15" s="48">
        <v>250</v>
      </c>
      <c r="F15" s="182">
        <v>2</v>
      </c>
      <c r="G15" s="182">
        <v>2</v>
      </c>
      <c r="H15" s="182">
        <v>1</v>
      </c>
      <c r="I15" s="182">
        <v>230</v>
      </c>
      <c r="J15" s="182">
        <v>230</v>
      </c>
      <c r="K15" s="182">
        <v>230</v>
      </c>
      <c r="L15" s="182">
        <f>3073826/1000</f>
        <v>3073.826</v>
      </c>
      <c r="M15" s="182">
        <f>1040699/1000</f>
        <v>1040.6990000000001</v>
      </c>
      <c r="N15" s="182">
        <v>483.05700000000002</v>
      </c>
      <c r="O15" s="182">
        <v>186.5</v>
      </c>
      <c r="P15" s="182">
        <v>15</v>
      </c>
      <c r="Q15" s="183">
        <v>10</v>
      </c>
      <c r="S15" s="58">
        <f>IF(F15=0, ,L15/F15/($E$15*0.94))</f>
        <v>6.5400553191489363</v>
      </c>
      <c r="T15" s="58">
        <f t="shared" ref="T15:U15" si="12">IF(G15=0, ,M15/G15/($E$15*0.94))</f>
        <v>2.2142531914893619</v>
      </c>
      <c r="U15" s="58">
        <f t="shared" si="12"/>
        <v>2.0555617021276595</v>
      </c>
      <c r="V15" s="184">
        <f t="shared" si="3"/>
        <v>3</v>
      </c>
      <c r="W15" s="58">
        <f>(S15*([1]ИЦП!$B$94/100)*([1]ИЦП!$C$94/100)+T15*[1]ИЦП!$C$94/100+U15)/V15*([1]ИЦП!$D$94/100)*([1]ИЦП!$E$94/100)*1000</f>
        <v>4300.9858320594603</v>
      </c>
    </row>
    <row r="16" spans="1:30" x14ac:dyDescent="0.25">
      <c r="A16" s="315"/>
      <c r="B16" s="316"/>
      <c r="C16" s="317"/>
      <c r="D16" s="271"/>
      <c r="E16" s="116" t="s">
        <v>219</v>
      </c>
      <c r="F16" s="132">
        <f t="shared" ref="F16:Q16" si="13">SUM(F17)</f>
        <v>6</v>
      </c>
      <c r="G16" s="132">
        <f t="shared" si="13"/>
        <v>0</v>
      </c>
      <c r="H16" s="132">
        <f t="shared" si="13"/>
        <v>0</v>
      </c>
      <c r="I16" s="132">
        <v>368</v>
      </c>
      <c r="J16" s="132">
        <v>0</v>
      </c>
      <c r="K16" s="132">
        <v>0</v>
      </c>
      <c r="L16" s="132">
        <f t="shared" si="13"/>
        <v>6196.1360000000004</v>
      </c>
      <c r="M16" s="132">
        <f t="shared" si="13"/>
        <v>0</v>
      </c>
      <c r="N16" s="132">
        <f t="shared" si="13"/>
        <v>0</v>
      </c>
      <c r="O16" s="132">
        <f t="shared" si="13"/>
        <v>610</v>
      </c>
      <c r="P16" s="132">
        <f t="shared" si="13"/>
        <v>0</v>
      </c>
      <c r="Q16" s="132">
        <f t="shared" si="13"/>
        <v>0</v>
      </c>
      <c r="S16" s="52">
        <f>S17</f>
        <v>2.7465141843971637</v>
      </c>
      <c r="T16" s="52">
        <f>T17</f>
        <v>0</v>
      </c>
      <c r="U16" s="52">
        <f>U17</f>
        <v>0</v>
      </c>
      <c r="V16" s="122">
        <f t="shared" si="3"/>
        <v>1</v>
      </c>
      <c r="W16" s="52">
        <f>(S16*([1]ИЦП!$B$94/100)*([1]ИЦП!$C$94/100)+T16*[1]ИЦП!$C$94/100+U16)/V16*([1]ИЦП!$D$94/100)*([1]ИЦП!$E$94/100)*1000</f>
        <v>3382.0289830824231</v>
      </c>
    </row>
    <row r="17" spans="1:23" x14ac:dyDescent="0.25">
      <c r="A17" s="315"/>
      <c r="B17" s="316"/>
      <c r="C17" s="317"/>
      <c r="D17" s="271"/>
      <c r="E17" s="48">
        <v>400</v>
      </c>
      <c r="F17" s="182">
        <v>6</v>
      </c>
      <c r="G17" s="182"/>
      <c r="H17" s="182"/>
      <c r="I17" s="182">
        <v>368</v>
      </c>
      <c r="J17" s="182"/>
      <c r="K17" s="182"/>
      <c r="L17" s="182">
        <f>6196136/1000</f>
        <v>6196.1360000000004</v>
      </c>
      <c r="M17" s="182"/>
      <c r="N17" s="182"/>
      <c r="O17" s="182">
        <v>610</v>
      </c>
      <c r="P17" s="182"/>
      <c r="Q17" s="183"/>
      <c r="S17" s="58">
        <f>IF(F17=0, ,L17/F17/($E$17*0.94))</f>
        <v>2.7465141843971637</v>
      </c>
      <c r="T17" s="58">
        <f t="shared" ref="T17:U17" si="14">IF(G17=0, ,M17/G17/($E$17*0.94))</f>
        <v>0</v>
      </c>
      <c r="U17" s="58">
        <f t="shared" si="14"/>
        <v>0</v>
      </c>
      <c r="V17" s="184">
        <f t="shared" si="3"/>
        <v>1</v>
      </c>
      <c r="W17" s="58">
        <f>(S17*([1]ИЦП!$B$94/100)*([1]ИЦП!$C$94/100)+T17*[1]ИЦП!$C$94/100+U17)/V17*([1]ИЦП!$D$94/100)*([1]ИЦП!$E$94/100)*1000</f>
        <v>3382.0289830824231</v>
      </c>
    </row>
    <row r="18" spans="1:23" x14ac:dyDescent="0.25">
      <c r="A18" s="315"/>
      <c r="B18" s="316"/>
      <c r="C18" s="317"/>
      <c r="D18" s="271"/>
      <c r="E18" s="116" t="s">
        <v>220</v>
      </c>
      <c r="F18" s="132">
        <f t="shared" ref="F18:Q18" si="15">SUM(F19)</f>
        <v>1</v>
      </c>
      <c r="G18" s="132">
        <f t="shared" si="15"/>
        <v>0</v>
      </c>
      <c r="H18" s="132">
        <f t="shared" si="15"/>
        <v>1</v>
      </c>
      <c r="I18" s="132">
        <v>579.6</v>
      </c>
      <c r="J18" s="132">
        <v>579.6</v>
      </c>
      <c r="K18" s="132">
        <v>579.6</v>
      </c>
      <c r="L18" s="132">
        <f t="shared" si="15"/>
        <v>1541.5</v>
      </c>
      <c r="M18" s="132">
        <f t="shared" si="15"/>
        <v>0</v>
      </c>
      <c r="N18" s="132">
        <f t="shared" si="15"/>
        <v>451.41199999999998</v>
      </c>
      <c r="O18" s="132">
        <f t="shared" si="15"/>
        <v>30</v>
      </c>
      <c r="P18" s="132">
        <f t="shared" si="15"/>
        <v>0</v>
      </c>
      <c r="Q18" s="132">
        <f t="shared" si="15"/>
        <v>15</v>
      </c>
      <c r="S18" s="52">
        <f>S19</f>
        <v>2.6030057413036141</v>
      </c>
      <c r="T18" s="52">
        <f t="shared" ref="T18:U18" si="16">T19</f>
        <v>0</v>
      </c>
      <c r="U18" s="52">
        <f t="shared" si="16"/>
        <v>0.76226274907125979</v>
      </c>
      <c r="V18" s="122">
        <f t="shared" si="3"/>
        <v>2</v>
      </c>
      <c r="W18" s="52">
        <f>(S18*([1]ИЦП!$B$94/100)*([1]ИЦП!$C$94/100)+T18*[1]ИЦП!$C$94/100+U18)/V18*([1]ИЦП!$D$94/100)*([1]ИЦП!$E$94/100)*1000</f>
        <v>2021.6457345562731</v>
      </c>
    </row>
    <row r="19" spans="1:23" x14ac:dyDescent="0.25">
      <c r="A19" s="315"/>
      <c r="B19" s="316"/>
      <c r="C19" s="317"/>
      <c r="D19" s="271"/>
      <c r="E19" s="48">
        <v>630</v>
      </c>
      <c r="F19" s="182">
        <v>1</v>
      </c>
      <c r="G19" s="182"/>
      <c r="H19" s="182">
        <v>1</v>
      </c>
      <c r="I19" s="182">
        <v>579.6</v>
      </c>
      <c r="J19" s="182">
        <v>579.6</v>
      </c>
      <c r="K19" s="182">
        <v>579.6</v>
      </c>
      <c r="L19" s="182">
        <f>1541500/1000</f>
        <v>1541.5</v>
      </c>
      <c r="M19" s="182"/>
      <c r="N19" s="182">
        <v>451.41199999999998</v>
      </c>
      <c r="O19" s="182">
        <v>30</v>
      </c>
      <c r="P19" s="182"/>
      <c r="Q19" s="183">
        <v>15</v>
      </c>
      <c r="S19" s="58">
        <f>IF(F19=0, ,L19/F19/($E$19*0.94))</f>
        <v>2.6030057413036141</v>
      </c>
      <c r="T19" s="58">
        <f t="shared" ref="T19:U19" si="17">IF(G19=0, ,M19/G19/($E$19*0.94))</f>
        <v>0</v>
      </c>
      <c r="U19" s="58">
        <f t="shared" si="17"/>
        <v>0.76226274907125979</v>
      </c>
      <c r="V19" s="184">
        <f t="shared" si="3"/>
        <v>2</v>
      </c>
      <c r="W19" s="58">
        <f>(S19*([1]ИЦП!$B$94/100)*([1]ИЦП!$C$94/100)+T19*[1]ИЦП!$C$94/100+U19)/V19*([1]ИЦП!$D$94/100)*([1]ИЦП!$E$94/100)*1000</f>
        <v>2021.6457345562731</v>
      </c>
    </row>
    <row r="20" spans="1:23" x14ac:dyDescent="0.25">
      <c r="A20" s="315"/>
      <c r="B20" s="316"/>
      <c r="C20" s="317"/>
      <c r="D20" s="271"/>
      <c r="E20" s="116" t="s">
        <v>221</v>
      </c>
      <c r="F20" s="132">
        <f t="shared" ref="F20:Q20" si="18">SUM(F21)</f>
        <v>2</v>
      </c>
      <c r="G20" s="132">
        <f t="shared" si="18"/>
        <v>0</v>
      </c>
      <c r="H20" s="132">
        <f t="shared" si="18"/>
        <v>0</v>
      </c>
      <c r="I20" s="132">
        <v>920</v>
      </c>
      <c r="J20" s="132">
        <v>920</v>
      </c>
      <c r="K20" s="132">
        <v>0</v>
      </c>
      <c r="L20" s="132">
        <f t="shared" si="18"/>
        <v>4719.3459999999995</v>
      </c>
      <c r="M20" s="132">
        <f t="shared" si="18"/>
        <v>0</v>
      </c>
      <c r="N20" s="132">
        <f t="shared" si="18"/>
        <v>0</v>
      </c>
      <c r="O20" s="132">
        <f t="shared" si="18"/>
        <v>1560</v>
      </c>
      <c r="P20" s="132">
        <f t="shared" si="18"/>
        <v>0</v>
      </c>
      <c r="Q20" s="132">
        <f t="shared" si="18"/>
        <v>0</v>
      </c>
      <c r="S20" s="52">
        <f>S21</f>
        <v>2.5102904255319145</v>
      </c>
      <c r="T20" s="52">
        <f t="shared" ref="T20:U20" si="19">T21</f>
        <v>0</v>
      </c>
      <c r="U20" s="52">
        <f t="shared" si="19"/>
        <v>0</v>
      </c>
      <c r="V20" s="122">
        <f t="shared" si="3"/>
        <v>1</v>
      </c>
      <c r="W20" s="52">
        <f>(S20*([1]ИЦП!$B$94/100)*([1]ИЦП!$C$94/100)+T20*[1]ИЦП!$C$94/100+U20)/V20*([1]ИЦП!$D$94/100)*([1]ИЦП!$E$94/100)*1000</f>
        <v>3091.1455048489765</v>
      </c>
    </row>
    <row r="21" spans="1:23" ht="15.75" thickBot="1" x14ac:dyDescent="0.3">
      <c r="A21" s="315"/>
      <c r="B21" s="316"/>
      <c r="C21" s="317"/>
      <c r="D21" s="321"/>
      <c r="E21" s="151">
        <v>1000</v>
      </c>
      <c r="F21" s="185">
        <v>2</v>
      </c>
      <c r="G21" s="185"/>
      <c r="H21" s="185"/>
      <c r="I21" s="185">
        <v>920</v>
      </c>
      <c r="J21" s="185">
        <v>920</v>
      </c>
      <c r="K21" s="185"/>
      <c r="L21" s="185">
        <f>4719346/1000</f>
        <v>4719.3459999999995</v>
      </c>
      <c r="M21" s="185"/>
      <c r="N21" s="185"/>
      <c r="O21" s="185">
        <v>1560</v>
      </c>
      <c r="P21" s="185"/>
      <c r="Q21" s="186"/>
      <c r="S21" s="58">
        <f>IF(F21=0, ,L21/F21/($E$21*0.94))</f>
        <v>2.5102904255319145</v>
      </c>
      <c r="T21" s="58">
        <f t="shared" ref="T21:U21" si="20">IF(G21=0, ,M21/G21/($E$21*0.94))</f>
        <v>0</v>
      </c>
      <c r="U21" s="58">
        <f t="shared" si="20"/>
        <v>0</v>
      </c>
      <c r="V21" s="184">
        <f t="shared" si="3"/>
        <v>1</v>
      </c>
      <c r="W21" s="58">
        <f>(S21*([1]ИЦП!$B$94/100)*([1]ИЦП!$C$94/100)+T21*[1]ИЦП!$C$94/100+U21)/V21*([1]ИЦП!$D$94/100)*([1]ИЦП!$E$94/100)*1000</f>
        <v>3091.1455048489765</v>
      </c>
    </row>
    <row r="22" spans="1:23" ht="15" customHeight="1" x14ac:dyDescent="0.25">
      <c r="A22" s="315"/>
      <c r="B22" s="316"/>
      <c r="C22" s="317"/>
      <c r="D22" s="322" t="s">
        <v>222</v>
      </c>
      <c r="E22" s="128" t="s">
        <v>219</v>
      </c>
      <c r="F22" s="129">
        <f t="shared" ref="F22:Q22" si="21">F23</f>
        <v>0</v>
      </c>
      <c r="G22" s="129">
        <f t="shared" si="21"/>
        <v>3</v>
      </c>
      <c r="H22" s="129">
        <f t="shared" si="21"/>
        <v>1</v>
      </c>
      <c r="I22" s="129">
        <v>0</v>
      </c>
      <c r="J22" s="129">
        <v>0</v>
      </c>
      <c r="K22" s="129">
        <v>368</v>
      </c>
      <c r="L22" s="129">
        <f t="shared" si="21"/>
        <v>0</v>
      </c>
      <c r="M22" s="129">
        <f t="shared" si="21"/>
        <v>7102.8341799999998</v>
      </c>
      <c r="N22" s="129">
        <f t="shared" si="21"/>
        <v>2567.473</v>
      </c>
      <c r="O22" s="129">
        <f t="shared" si="21"/>
        <v>0</v>
      </c>
      <c r="P22" s="129">
        <f t="shared" si="21"/>
        <v>468</v>
      </c>
      <c r="Q22" s="129">
        <f t="shared" si="21"/>
        <v>422</v>
      </c>
      <c r="S22" s="52">
        <f>S23</f>
        <v>0</v>
      </c>
      <c r="T22" s="52">
        <f t="shared" ref="T22:U22" si="22">T23</f>
        <v>6.2968388120567367</v>
      </c>
      <c r="U22" s="52">
        <f t="shared" si="22"/>
        <v>6.8283856382978723</v>
      </c>
      <c r="V22" s="122">
        <f t="shared" si="3"/>
        <v>2</v>
      </c>
      <c r="W22" s="52">
        <f>(S22*([1]ИЦП!$B$94/100)*([1]ИЦП!$C$94/100)+T22*[1]ИЦП!$C$94/100+U22)/V22*([1]ИЦП!$D$94/100)*([1]ИЦП!$E$94/100)*1000</f>
        <v>7435.815176062375</v>
      </c>
    </row>
    <row r="23" spans="1:23" x14ac:dyDescent="0.25">
      <c r="A23" s="315"/>
      <c r="B23" s="316"/>
      <c r="C23" s="317"/>
      <c r="D23" s="257"/>
      <c r="E23" s="48">
        <v>400</v>
      </c>
      <c r="F23" s="182"/>
      <c r="G23" s="182">
        <v>3</v>
      </c>
      <c r="H23" s="182">
        <v>1</v>
      </c>
      <c r="I23" s="182"/>
      <c r="J23" s="182"/>
      <c r="K23" s="182">
        <v>368</v>
      </c>
      <c r="L23" s="182"/>
      <c r="M23" s="182">
        <v>7102.8341799999998</v>
      </c>
      <c r="N23" s="182">
        <v>2567.473</v>
      </c>
      <c r="O23" s="182"/>
      <c r="P23" s="182">
        <f>262+206</f>
        <v>468</v>
      </c>
      <c r="Q23" s="183">
        <v>422</v>
      </c>
      <c r="S23" s="58">
        <f>IF(F23=0, ,L23/F23/($E$23*0.94))</f>
        <v>0</v>
      </c>
      <c r="T23" s="58">
        <f t="shared" ref="T23:U23" si="23">IF(G23=0, ,M23/G23/($E$23*0.94))</f>
        <v>6.2968388120567367</v>
      </c>
      <c r="U23" s="58">
        <f t="shared" si="23"/>
        <v>6.8283856382978723</v>
      </c>
      <c r="V23" s="184">
        <f t="shared" si="3"/>
        <v>2</v>
      </c>
      <c r="W23" s="58">
        <f>(S23*([1]ИЦП!$B$94/100)*([1]ИЦП!$C$94/100)+T23*[1]ИЦП!$C$94/100+U23)/V23*([1]ИЦП!$D$94/100)*([1]ИЦП!$E$94/100)*1000</f>
        <v>7435.815176062375</v>
      </c>
    </row>
    <row r="24" spans="1:23" x14ac:dyDescent="0.25">
      <c r="A24" s="315"/>
      <c r="B24" s="316"/>
      <c r="C24" s="317"/>
      <c r="D24" s="257"/>
      <c r="E24" s="116" t="s">
        <v>220</v>
      </c>
      <c r="F24" s="132">
        <f t="shared" ref="F24:Q24" si="24">SUM(F25:F25)</f>
        <v>0</v>
      </c>
      <c r="G24" s="132">
        <f t="shared" si="24"/>
        <v>0</v>
      </c>
      <c r="H24" s="132">
        <f t="shared" si="24"/>
        <v>1</v>
      </c>
      <c r="I24" s="132">
        <v>0</v>
      </c>
      <c r="J24" s="132">
        <v>0</v>
      </c>
      <c r="K24" s="132">
        <v>579.6</v>
      </c>
      <c r="L24" s="132">
        <f t="shared" si="24"/>
        <v>0</v>
      </c>
      <c r="M24" s="132">
        <f t="shared" si="24"/>
        <v>0</v>
      </c>
      <c r="N24" s="132">
        <f t="shared" si="24"/>
        <v>2681.4740000000002</v>
      </c>
      <c r="O24" s="132">
        <f t="shared" si="24"/>
        <v>0</v>
      </c>
      <c r="P24" s="132">
        <f t="shared" si="24"/>
        <v>0</v>
      </c>
      <c r="Q24" s="132">
        <f t="shared" si="24"/>
        <v>315</v>
      </c>
      <c r="S24" s="52">
        <f>S25</f>
        <v>0</v>
      </c>
      <c r="T24" s="52">
        <f t="shared" ref="T24:U24" si="25">T25</f>
        <v>0</v>
      </c>
      <c r="U24" s="52">
        <f t="shared" si="25"/>
        <v>4.5279871664978053</v>
      </c>
      <c r="V24" s="122">
        <f t="shared" si="3"/>
        <v>1</v>
      </c>
      <c r="W24" s="52">
        <f>(S24*([1]ИЦП!$B$94/100)*([1]ИЦП!$C$94/100)+T24*[1]ИЦП!$C$94/100+U24)/V24*([1]ИЦП!$D$94/100)*([1]ИЦП!$E$94/100)*1000</f>
        <v>4977.7460810349348</v>
      </c>
    </row>
    <row r="25" spans="1:23" x14ac:dyDescent="0.25">
      <c r="A25" s="315"/>
      <c r="B25" s="316"/>
      <c r="C25" s="317"/>
      <c r="D25" s="257"/>
      <c r="E25" s="48">
        <v>630</v>
      </c>
      <c r="F25" s="182"/>
      <c r="G25" s="182"/>
      <c r="H25" s="182">
        <v>1</v>
      </c>
      <c r="I25" s="182"/>
      <c r="J25" s="182"/>
      <c r="K25" s="182">
        <v>579.6</v>
      </c>
      <c r="L25" s="182"/>
      <c r="M25" s="182"/>
      <c r="N25" s="182">
        <v>2681.4740000000002</v>
      </c>
      <c r="O25" s="182"/>
      <c r="P25" s="182"/>
      <c r="Q25" s="183">
        <v>315</v>
      </c>
      <c r="S25" s="58">
        <f>IF(F25=0, ,L25/F25/($E$25*0.94))</f>
        <v>0</v>
      </c>
      <c r="T25" s="58">
        <f t="shared" ref="T25:U25" si="26">IF(G25=0, ,M25/G25/($E$25*0.94))</f>
        <v>0</v>
      </c>
      <c r="U25" s="58">
        <f t="shared" si="26"/>
        <v>4.5279871664978053</v>
      </c>
      <c r="V25" s="184">
        <f t="shared" si="3"/>
        <v>1</v>
      </c>
      <c r="W25" s="58">
        <f>(S25*([1]ИЦП!$B$94/100)*([1]ИЦП!$C$94/100)+T25*[1]ИЦП!$C$94/100+U25)/V25*([1]ИЦП!$D$94/100)*([1]ИЦП!$E$94/100)*1000</f>
        <v>4977.7460810349348</v>
      </c>
    </row>
    <row r="26" spans="1:23" x14ac:dyDescent="0.25">
      <c r="A26" s="315"/>
      <c r="B26" s="316"/>
      <c r="C26" s="317"/>
      <c r="D26" s="257"/>
      <c r="E26" s="116" t="s">
        <v>221</v>
      </c>
      <c r="F26" s="132">
        <f>F27</f>
        <v>0</v>
      </c>
      <c r="G26" s="132">
        <f t="shared" ref="G26:Q26" si="27">G27</f>
        <v>0</v>
      </c>
      <c r="H26" s="132">
        <f t="shared" si="27"/>
        <v>1</v>
      </c>
      <c r="I26" s="132">
        <v>0</v>
      </c>
      <c r="J26" s="132">
        <v>0</v>
      </c>
      <c r="K26" s="132">
        <v>920</v>
      </c>
      <c r="L26" s="132">
        <f t="shared" si="27"/>
        <v>0</v>
      </c>
      <c r="M26" s="132">
        <f t="shared" si="27"/>
        <v>0</v>
      </c>
      <c r="N26" s="132">
        <f t="shared" si="27"/>
        <v>3839.4389999999999</v>
      </c>
      <c r="O26" s="132">
        <f t="shared" si="27"/>
        <v>0</v>
      </c>
      <c r="P26" s="132">
        <f t="shared" si="27"/>
        <v>0</v>
      </c>
      <c r="Q26" s="132">
        <f t="shared" si="27"/>
        <v>500</v>
      </c>
      <c r="S26" s="52">
        <f>S27</f>
        <v>0</v>
      </c>
      <c r="T26" s="52">
        <f t="shared" ref="T26:U26" si="28">T27</f>
        <v>0</v>
      </c>
      <c r="U26" s="52">
        <f t="shared" si="28"/>
        <v>4.0845095744680853</v>
      </c>
      <c r="V26" s="122">
        <f t="shared" si="3"/>
        <v>1</v>
      </c>
      <c r="W26" s="52">
        <f>(S26*([1]ИЦП!$B$94/100)*([1]ИЦП!$C$94/100)+T26*[1]ИЦП!$C$94/100+U26)/V26*([1]ИЦП!$D$94/100)*([1]ИЦП!$E$94/100)*1000</f>
        <v>4490.2184524042723</v>
      </c>
    </row>
    <row r="27" spans="1:23" ht="15.75" thickBot="1" x14ac:dyDescent="0.3">
      <c r="A27" s="318"/>
      <c r="B27" s="319"/>
      <c r="C27" s="320"/>
      <c r="D27" s="323"/>
      <c r="E27" s="187">
        <v>1000</v>
      </c>
      <c r="F27" s="188"/>
      <c r="G27" s="188"/>
      <c r="H27" s="188">
        <v>1</v>
      </c>
      <c r="I27" s="188"/>
      <c r="J27" s="188"/>
      <c r="K27" s="188">
        <v>920</v>
      </c>
      <c r="L27" s="188"/>
      <c r="M27" s="188"/>
      <c r="N27" s="188">
        <v>3839.4389999999999</v>
      </c>
      <c r="O27" s="188"/>
      <c r="P27" s="188"/>
      <c r="Q27" s="189">
        <v>500</v>
      </c>
      <c r="S27" s="58">
        <f>IF(F27=0, ,L27/F27/($E$27*0.94))</f>
        <v>0</v>
      </c>
      <c r="T27" s="58">
        <f t="shared" ref="T27:U27" si="29">IF(G27=0, ,M27/G27/($E$27*0.94))</f>
        <v>0</v>
      </c>
      <c r="U27" s="58">
        <f t="shared" si="29"/>
        <v>4.0845095744680853</v>
      </c>
      <c r="V27" s="184">
        <f t="shared" si="3"/>
        <v>1</v>
      </c>
      <c r="W27" s="58">
        <f>(S27*([1]ИЦП!$B$94/100)*([1]ИЦП!$C$94/100)+T27*[1]ИЦП!$C$94/100+U27)/V27*([1]ИЦП!$D$94/100)*([1]ИЦП!$E$94/100)*1000</f>
        <v>4490.2184524042723</v>
      </c>
    </row>
    <row r="28" spans="1:23" ht="15" customHeight="1" x14ac:dyDescent="0.25">
      <c r="A28" s="324" t="s">
        <v>188</v>
      </c>
      <c r="B28" s="325"/>
      <c r="C28" s="326"/>
      <c r="D28" s="322" t="s">
        <v>215</v>
      </c>
      <c r="E28" s="128" t="s">
        <v>216</v>
      </c>
      <c r="F28" s="129">
        <f t="shared" ref="F28:Q28" si="30">SUM(F29)</f>
        <v>4</v>
      </c>
      <c r="G28" s="129">
        <f t="shared" si="30"/>
        <v>7</v>
      </c>
      <c r="H28" s="129">
        <f t="shared" si="30"/>
        <v>13</v>
      </c>
      <c r="I28" s="129">
        <v>23</v>
      </c>
      <c r="J28" s="129">
        <v>23</v>
      </c>
      <c r="K28" s="129">
        <v>23</v>
      </c>
      <c r="L28" s="129">
        <f t="shared" si="30"/>
        <v>1479.9580000000001</v>
      </c>
      <c r="M28" s="129">
        <f t="shared" si="30"/>
        <v>2625.6366600000001</v>
      </c>
      <c r="N28" s="129">
        <f t="shared" si="30"/>
        <v>3735.3829999999998</v>
      </c>
      <c r="O28" s="129">
        <f t="shared" si="30"/>
        <v>68</v>
      </c>
      <c r="P28" s="129">
        <f t="shared" si="30"/>
        <v>170</v>
      </c>
      <c r="Q28" s="129">
        <f t="shared" si="30"/>
        <v>146</v>
      </c>
      <c r="S28" s="52">
        <f>S29</f>
        <v>15.744234042553192</v>
      </c>
      <c r="T28" s="52">
        <f t="shared" ref="T28:U28" si="31">T29</f>
        <v>15.96131708206687</v>
      </c>
      <c r="U28" s="52">
        <f t="shared" si="31"/>
        <v>12.227112929623567</v>
      </c>
      <c r="V28" s="122">
        <f t="shared" si="3"/>
        <v>3</v>
      </c>
      <c r="W28" s="52">
        <f>(S28*([1]ИЦП!$B$94/100)*([1]ИЦП!$C$94/100)+T28*[1]ИЦП!$C$94/100+U28)/V28*([1]ИЦП!$D$94/100)*([1]ИЦП!$E$94/100)*1000</f>
        <v>17165.928132578527</v>
      </c>
    </row>
    <row r="29" spans="1:23" x14ac:dyDescent="0.25">
      <c r="A29" s="327"/>
      <c r="B29" s="328"/>
      <c r="C29" s="329"/>
      <c r="D29" s="257"/>
      <c r="E29" s="48">
        <v>25</v>
      </c>
      <c r="F29" s="182">
        <v>4</v>
      </c>
      <c r="G29" s="182">
        <v>7</v>
      </c>
      <c r="H29" s="182">
        <v>13</v>
      </c>
      <c r="I29" s="182">
        <v>23</v>
      </c>
      <c r="J29" s="182">
        <v>23</v>
      </c>
      <c r="K29" s="182">
        <v>23</v>
      </c>
      <c r="L29" s="182">
        <f>1479958/1000</f>
        <v>1479.9580000000001</v>
      </c>
      <c r="M29" s="182">
        <f>2625636.66/1000</f>
        <v>2625.6366600000001</v>
      </c>
      <c r="N29" s="182">
        <v>3735.3829999999998</v>
      </c>
      <c r="O29" s="182">
        <v>68</v>
      </c>
      <c r="P29" s="182">
        <v>170</v>
      </c>
      <c r="Q29" s="183">
        <v>146</v>
      </c>
      <c r="S29" s="58">
        <f>IF(F29=0, ,L29/F29/($E$29*0.94))</f>
        <v>15.744234042553192</v>
      </c>
      <c r="T29" s="58">
        <f t="shared" ref="T29:U29" si="32">IF(G29=0, ,M29/G29/($E$29*0.94))</f>
        <v>15.96131708206687</v>
      </c>
      <c r="U29" s="58">
        <f t="shared" si="32"/>
        <v>12.227112929623567</v>
      </c>
      <c r="V29" s="184">
        <f t="shared" si="3"/>
        <v>3</v>
      </c>
      <c r="W29" s="58">
        <f>(S29*([1]ИЦП!$B$94/100)*([1]ИЦП!$C$94/100)+T29*[1]ИЦП!$C$94/100+U29)/V29*([1]ИЦП!$D$94/100)*([1]ИЦП!$E$94/100)*1000</f>
        <v>17165.928132578527</v>
      </c>
    </row>
    <row r="30" spans="1:23" x14ac:dyDescent="0.25">
      <c r="A30" s="327"/>
      <c r="B30" s="328"/>
      <c r="C30" s="329"/>
      <c r="D30" s="257"/>
      <c r="E30" s="116" t="s">
        <v>217</v>
      </c>
      <c r="F30" s="132">
        <f t="shared" ref="F30:G30" si="33">SUM(F31:F33)</f>
        <v>3</v>
      </c>
      <c r="G30" s="132">
        <f t="shared" si="33"/>
        <v>11</v>
      </c>
      <c r="H30" s="132">
        <f t="shared" ref="H30:Q30" si="34">SUM(H31:H33)</f>
        <v>4</v>
      </c>
      <c r="I30" s="132">
        <v>186.76</v>
      </c>
      <c r="J30" s="132">
        <v>186.76</v>
      </c>
      <c r="K30" s="132">
        <v>94.759999999999991</v>
      </c>
      <c r="L30" s="132">
        <f t="shared" si="34"/>
        <v>1111.8018999999999</v>
      </c>
      <c r="M30" s="132">
        <f t="shared" si="34"/>
        <v>4194.9390600000006</v>
      </c>
      <c r="N30" s="132">
        <f t="shared" si="34"/>
        <v>1624.915</v>
      </c>
      <c r="O30" s="132">
        <f t="shared" si="34"/>
        <v>59</v>
      </c>
      <c r="P30" s="132">
        <f t="shared" si="34"/>
        <v>354</v>
      </c>
      <c r="Q30" s="132">
        <f t="shared" si="34"/>
        <v>275</v>
      </c>
      <c r="S30" s="52">
        <f>AVERAGE(S31:S32)</f>
        <v>8.0635820563154343</v>
      </c>
      <c r="T30" s="52">
        <f>AVERAGE(T31:T33)</f>
        <v>6.9273950132978728</v>
      </c>
      <c r="U30" s="52">
        <f>AVERAGE(U31:U32)</f>
        <v>8.6094459219858166</v>
      </c>
      <c r="V30" s="122">
        <f t="shared" si="3"/>
        <v>3</v>
      </c>
      <c r="W30" s="52">
        <f>(S30*([1]ИЦП!$B$94/100)*([1]ИЦП!$C$94/100)+T30*[1]ИЦП!$C$94/100+U30)/V30*([1]ИЦП!$D$94/100)*([1]ИЦП!$E$94/100)*1000</f>
        <v>9165.5104406713654</v>
      </c>
    </row>
    <row r="31" spans="1:23" x14ac:dyDescent="0.25">
      <c r="A31" s="327"/>
      <c r="B31" s="328"/>
      <c r="C31" s="329"/>
      <c r="D31" s="257"/>
      <c r="E31" s="48">
        <v>40</v>
      </c>
      <c r="F31" s="182">
        <v>2</v>
      </c>
      <c r="G31" s="182">
        <v>8</v>
      </c>
      <c r="H31" s="182">
        <v>3</v>
      </c>
      <c r="I31" s="182">
        <v>36.799999999999997</v>
      </c>
      <c r="J31" s="182">
        <v>36.799999999999997</v>
      </c>
      <c r="K31" s="182">
        <v>36.799999999999997</v>
      </c>
      <c r="L31" s="182">
        <f>737652.9/1000</f>
        <v>737.65290000000005</v>
      </c>
      <c r="M31" s="182">
        <f>3125198.06/1000</f>
        <v>3125.1980600000002</v>
      </c>
      <c r="N31" s="182">
        <v>1274.1310000000001</v>
      </c>
      <c r="O31" s="182">
        <v>19</v>
      </c>
      <c r="P31" s="182">
        <v>140</v>
      </c>
      <c r="Q31" s="183">
        <v>215</v>
      </c>
      <c r="S31" s="58">
        <f>IF(F31=0, ,L31/F31/($E$31*0.94))</f>
        <v>9.8092140957446823</v>
      </c>
      <c r="T31" s="58">
        <f t="shared" ref="T31:U31" si="35">IF(G31=0, ,M31/G31/($E$31*0.94))</f>
        <v>10.389621210106386</v>
      </c>
      <c r="U31" s="58">
        <f t="shared" si="35"/>
        <v>11.295487588652485</v>
      </c>
      <c r="V31" s="184">
        <f t="shared" si="3"/>
        <v>3</v>
      </c>
      <c r="W31" s="58">
        <f>(S31*([1]ИЦП!$B$94/100)*([1]ИЦП!$C$94/100)+T31*[1]ИЦП!$C$94/100+U31)/V31*([1]ИЦП!$D$94/100)*([1]ИЦП!$E$94/100)*1000</f>
        <v>12216.153653367841</v>
      </c>
    </row>
    <row r="32" spans="1:23" x14ac:dyDescent="0.25">
      <c r="A32" s="327"/>
      <c r="B32" s="328"/>
      <c r="C32" s="329"/>
      <c r="D32" s="257"/>
      <c r="E32" s="48">
        <v>63</v>
      </c>
      <c r="F32" s="182">
        <v>1</v>
      </c>
      <c r="G32" s="182">
        <v>1</v>
      </c>
      <c r="H32" s="182">
        <v>1</v>
      </c>
      <c r="I32" s="182">
        <v>57.96</v>
      </c>
      <c r="J32" s="182">
        <v>57.96</v>
      </c>
      <c r="K32" s="182">
        <v>57.96</v>
      </c>
      <c r="L32" s="182">
        <f>374149/1000</f>
        <v>374.149</v>
      </c>
      <c r="M32" s="182">
        <f>406539/1000</f>
        <v>406.53899999999999</v>
      </c>
      <c r="N32" s="182">
        <v>350.78399999999999</v>
      </c>
      <c r="O32" s="182">
        <v>40</v>
      </c>
      <c r="P32" s="182">
        <v>54</v>
      </c>
      <c r="Q32" s="183">
        <v>60</v>
      </c>
      <c r="S32" s="58">
        <f>IF(F32=0, ,L32/F32/($E$32*0.94))</f>
        <v>6.3179500168861873</v>
      </c>
      <c r="T32" s="58">
        <f t="shared" ref="T32:U32" si="36">IF(G32=0, ,M32/G32/($E$32*0.94))</f>
        <v>6.8648936170212762</v>
      </c>
      <c r="U32" s="58">
        <f t="shared" si="36"/>
        <v>5.9234042553191486</v>
      </c>
      <c r="V32" s="184">
        <f t="shared" si="3"/>
        <v>3</v>
      </c>
      <c r="W32" s="58">
        <f>(S32*([1]ИЦП!$B$94/100)*([1]ИЦП!$C$94/100)+T32*[1]ИЦП!$C$94/100+U32)/V32*([1]ИЦП!$D$94/100)*([1]ИЦП!$E$94/100)*1000</f>
        <v>7440.3439686291877</v>
      </c>
    </row>
    <row r="33" spans="1:23" x14ac:dyDescent="0.25">
      <c r="A33" s="327"/>
      <c r="B33" s="328"/>
      <c r="C33" s="329"/>
      <c r="D33" s="257"/>
      <c r="E33" s="48">
        <v>100</v>
      </c>
      <c r="F33" s="182"/>
      <c r="G33" s="182">
        <v>2</v>
      </c>
      <c r="H33" s="182"/>
      <c r="I33" s="182">
        <v>92</v>
      </c>
      <c r="J33" s="182">
        <v>92</v>
      </c>
      <c r="K33" s="182"/>
      <c r="L33" s="182"/>
      <c r="M33" s="182">
        <f>663202/1000</f>
        <v>663.202</v>
      </c>
      <c r="N33" s="182"/>
      <c r="O33" s="182"/>
      <c r="P33" s="182">
        <v>160</v>
      </c>
      <c r="Q33" s="183"/>
      <c r="S33" s="58">
        <f>IF(F33=0, ,L33/F33/($E$33*0.94))</f>
        <v>0</v>
      </c>
      <c r="T33" s="58">
        <f t="shared" ref="T33:U33" si="37">IF(G33=0, ,M33/G33/($E$33*0.94))</f>
        <v>3.5276702127659574</v>
      </c>
      <c r="U33" s="58">
        <f t="shared" si="37"/>
        <v>0</v>
      </c>
      <c r="V33" s="184">
        <f t="shared" si="3"/>
        <v>1</v>
      </c>
      <c r="W33" s="58">
        <f>(S33*([1]ИЦП!$B$94/100)*([1]ИЦП!$C$94/100)+T33*[1]ИЦП!$C$94/100+U33)/V33*([1]ИЦП!$D$94/100)*([1]ИЦП!$E$94/100)*1000</f>
        <v>4126.079394710443</v>
      </c>
    </row>
    <row r="34" spans="1:23" x14ac:dyDescent="0.25">
      <c r="A34" s="327"/>
      <c r="B34" s="328"/>
      <c r="C34" s="329"/>
      <c r="D34" s="257"/>
      <c r="E34" s="116" t="s">
        <v>218</v>
      </c>
      <c r="F34" s="132">
        <f t="shared" ref="F34:G34" si="38">SUM(F35:F36)</f>
        <v>23</v>
      </c>
      <c r="G34" s="132">
        <f t="shared" si="38"/>
        <v>15</v>
      </c>
      <c r="H34" s="132">
        <f t="shared" ref="H34:Q34" si="39">SUM(H35:H36)</f>
        <v>5</v>
      </c>
      <c r="I34" s="132">
        <v>287.95999999999998</v>
      </c>
      <c r="J34" s="132">
        <v>287.95999999999998</v>
      </c>
      <c r="K34" s="132">
        <v>287.95999999999998</v>
      </c>
      <c r="L34" s="132">
        <f t="shared" si="39"/>
        <v>18637.484969999998</v>
      </c>
      <c r="M34" s="132">
        <f t="shared" si="39"/>
        <v>15705.119289999999</v>
      </c>
      <c r="N34" s="132">
        <f t="shared" si="39"/>
        <v>2613.1786099999999</v>
      </c>
      <c r="O34" s="132">
        <f t="shared" si="39"/>
        <v>1196</v>
      </c>
      <c r="P34" s="132">
        <f t="shared" si="39"/>
        <v>1461</v>
      </c>
      <c r="Q34" s="132">
        <f t="shared" si="39"/>
        <v>190</v>
      </c>
      <c r="S34" s="52">
        <f>AVERAGE(S35:S36)</f>
        <v>6.8717592330754362</v>
      </c>
      <c r="T34" s="52">
        <f t="shared" ref="T34:U34" si="40">AVERAGE(T35:T36)</f>
        <v>5.2110329858156028</v>
      </c>
      <c r="U34" s="52">
        <f t="shared" si="40"/>
        <v>2.8378872180851067</v>
      </c>
      <c r="V34" s="122">
        <f t="shared" si="3"/>
        <v>3</v>
      </c>
      <c r="W34" s="52">
        <f>(S34*([1]ИЦП!$B$94/100)*([1]ИЦП!$C$94/100)+T34*[1]ИЦП!$C$94/100+U34)/V34*([1]ИЦП!$D$94/100)*([1]ИЦП!$E$94/100)*1000</f>
        <v>5892.1931881902274</v>
      </c>
    </row>
    <row r="35" spans="1:23" x14ac:dyDescent="0.25">
      <c r="A35" s="327"/>
      <c r="B35" s="328"/>
      <c r="C35" s="329"/>
      <c r="D35" s="257"/>
      <c r="E35" s="48">
        <v>160</v>
      </c>
      <c r="F35" s="182">
        <v>1</v>
      </c>
      <c r="G35" s="182">
        <v>3</v>
      </c>
      <c r="H35" s="182">
        <v>3</v>
      </c>
      <c r="I35" s="182">
        <v>57.96</v>
      </c>
      <c r="J35" s="182">
        <v>57.96</v>
      </c>
      <c r="K35" s="182">
        <v>57.96</v>
      </c>
      <c r="L35" s="182">
        <f>1570532/1000</f>
        <v>1570.5319999999999</v>
      </c>
      <c r="M35" s="182">
        <f>2606687/1000</f>
        <v>2606.6869999999999</v>
      </c>
      <c r="N35" s="182">
        <v>1306.4490000000001</v>
      </c>
      <c r="O35" s="182">
        <v>60</v>
      </c>
      <c r="P35" s="182">
        <v>319</v>
      </c>
      <c r="Q35" s="183">
        <v>35</v>
      </c>
      <c r="S35" s="58">
        <f>IF(F35=0, ,L35/F35/($E$35*0.94))</f>
        <v>10.442367021276597</v>
      </c>
      <c r="T35" s="58">
        <f t="shared" ref="T35:U35" si="41">IF(G35=0, ,M35/G35/($E$35*0.94))</f>
        <v>5.7772318262411355</v>
      </c>
      <c r="U35" s="58">
        <f t="shared" si="41"/>
        <v>2.8954986702127665</v>
      </c>
      <c r="V35" s="184">
        <f t="shared" si="3"/>
        <v>3</v>
      </c>
      <c r="W35" s="58">
        <f>(S35*([1]ИЦП!$B$94/100)*([1]ИЦП!$C$94/100)+T35*[1]ИЦП!$C$94/100+U35)/V35*([1]ИЦП!$D$94/100)*([1]ИЦП!$E$94/100)*1000</f>
        <v>7599.6558626420037</v>
      </c>
    </row>
    <row r="36" spans="1:23" x14ac:dyDescent="0.25">
      <c r="A36" s="327"/>
      <c r="B36" s="328"/>
      <c r="C36" s="329"/>
      <c r="D36" s="257"/>
      <c r="E36" s="48">
        <v>250</v>
      </c>
      <c r="F36" s="182">
        <v>22</v>
      </c>
      <c r="G36" s="182">
        <v>12</v>
      </c>
      <c r="H36" s="182">
        <v>2</v>
      </c>
      <c r="I36" s="182">
        <v>230</v>
      </c>
      <c r="J36" s="182">
        <v>230</v>
      </c>
      <c r="K36" s="182">
        <v>230</v>
      </c>
      <c r="L36" s="182">
        <f>17066952.97/1000</f>
        <v>17066.952969999998</v>
      </c>
      <c r="M36" s="182">
        <f>13098432.29/1000</f>
        <v>13098.432289999999</v>
      </c>
      <c r="N36" s="182">
        <v>1306.7296100000001</v>
      </c>
      <c r="O36" s="182">
        <v>1136</v>
      </c>
      <c r="P36" s="182">
        <v>1142</v>
      </c>
      <c r="Q36" s="183">
        <v>155</v>
      </c>
      <c r="S36" s="58">
        <f>IF(F36=0, ,L36/F36/($E$36*0.94))</f>
        <v>3.3011514448742747</v>
      </c>
      <c r="T36" s="58">
        <f t="shared" ref="T36:U36" si="42">IF(G36=0, ,M36/G36/($E$36*0.94))</f>
        <v>4.6448341453900701</v>
      </c>
      <c r="U36" s="58">
        <f t="shared" si="42"/>
        <v>2.7802757659574469</v>
      </c>
      <c r="V36" s="184">
        <f t="shared" si="3"/>
        <v>3</v>
      </c>
      <c r="W36" s="58">
        <f>(S36*([1]ИЦП!$B$94/100)*([1]ИЦП!$C$94/100)+T36*[1]ИЦП!$C$94/100+U36)/V36*([1]ИЦП!$D$94/100)*([1]ИЦП!$E$94/100)*1000</f>
        <v>4184.7305137384492</v>
      </c>
    </row>
    <row r="37" spans="1:23" x14ac:dyDescent="0.25">
      <c r="A37" s="327"/>
      <c r="B37" s="328"/>
      <c r="C37" s="329"/>
      <c r="D37" s="257"/>
      <c r="E37" s="116" t="s">
        <v>219</v>
      </c>
      <c r="F37" s="132">
        <f t="shared" ref="F37:G37" si="43">SUM(F38:F39)</f>
        <v>11</v>
      </c>
      <c r="G37" s="132">
        <f t="shared" si="43"/>
        <v>8</v>
      </c>
      <c r="H37" s="132">
        <f t="shared" ref="H37:Q37" si="44">SUM(H38:H39)</f>
        <v>5</v>
      </c>
      <c r="I37" s="132">
        <v>828</v>
      </c>
      <c r="J37" s="132">
        <v>828</v>
      </c>
      <c r="K37" s="132">
        <v>368</v>
      </c>
      <c r="L37" s="132">
        <f t="shared" si="44"/>
        <v>11530.52333</v>
      </c>
      <c r="M37" s="132">
        <f t="shared" si="44"/>
        <v>7022.9017999999996</v>
      </c>
      <c r="N37" s="132">
        <f t="shared" si="44"/>
        <v>3699.8420000000001</v>
      </c>
      <c r="O37" s="132">
        <f t="shared" si="44"/>
        <v>1161</v>
      </c>
      <c r="P37" s="132">
        <f t="shared" si="44"/>
        <v>1143</v>
      </c>
      <c r="Q37" s="132">
        <f t="shared" si="44"/>
        <v>70</v>
      </c>
      <c r="S37" s="52">
        <f>AVERAGE(S38:S39)</f>
        <v>3.726299777925532</v>
      </c>
      <c r="T37" s="52">
        <f>T38</f>
        <v>2.3347412898936168</v>
      </c>
      <c r="U37" s="52">
        <f>U38</f>
        <v>1.9680010638297871</v>
      </c>
      <c r="V37" s="122">
        <f t="shared" si="3"/>
        <v>3</v>
      </c>
      <c r="W37" s="52">
        <f>(S37*([1]ИЦП!$B$94/100)*([1]ИЦП!$C$94/100)+T37*[1]ИЦП!$C$94/100+U37)/V37*([1]ИЦП!$D$94/100)*([1]ИЦП!$E$94/100)*1000</f>
        <v>3160.9323797377106</v>
      </c>
    </row>
    <row r="38" spans="1:23" x14ac:dyDescent="0.25">
      <c r="A38" s="327"/>
      <c r="B38" s="328"/>
      <c r="C38" s="329"/>
      <c r="D38" s="257"/>
      <c r="E38" s="48">
        <v>400</v>
      </c>
      <c r="F38" s="182">
        <v>10</v>
      </c>
      <c r="G38" s="182">
        <v>8</v>
      </c>
      <c r="H38" s="182">
        <v>5</v>
      </c>
      <c r="I38" s="182">
        <v>368</v>
      </c>
      <c r="J38" s="182">
        <v>368</v>
      </c>
      <c r="K38" s="182">
        <v>368</v>
      </c>
      <c r="L38" s="182">
        <f>9174630.33/1000</f>
        <v>9174.63033</v>
      </c>
      <c r="M38" s="182">
        <f>7022901.8/1000</f>
        <v>7022.9017999999996</v>
      </c>
      <c r="N38" s="182">
        <v>3699.8420000000001</v>
      </c>
      <c r="O38" s="182">
        <v>984</v>
      </c>
      <c r="P38" s="182">
        <v>1143</v>
      </c>
      <c r="Q38" s="183">
        <v>70</v>
      </c>
      <c r="S38" s="58">
        <f>IF(F38=0, ,L38/F38/($E$38*0.94))</f>
        <v>2.4400612579787233</v>
      </c>
      <c r="T38" s="58">
        <f t="shared" ref="T38:U38" si="45">IF(G38=0, ,M38/G38/($E$38*0.94))</f>
        <v>2.3347412898936168</v>
      </c>
      <c r="U38" s="58">
        <f t="shared" si="45"/>
        <v>1.9680010638297871</v>
      </c>
      <c r="V38" s="184">
        <f t="shared" si="3"/>
        <v>3</v>
      </c>
      <c r="W38" s="58">
        <f>(S38*([1]ИЦП!$B$94/100)*([1]ИЦП!$C$94/100)+T38*[1]ИЦП!$C$94/100+U38)/V38*([1]ИЦП!$D$94/100)*([1]ИЦП!$E$94/100)*1000</f>
        <v>2632.9788039737032</v>
      </c>
    </row>
    <row r="39" spans="1:23" x14ac:dyDescent="0.25">
      <c r="A39" s="327"/>
      <c r="B39" s="328"/>
      <c r="C39" s="329"/>
      <c r="D39" s="257"/>
      <c r="E39" s="48">
        <v>500</v>
      </c>
      <c r="F39" s="182">
        <v>1</v>
      </c>
      <c r="G39" s="182"/>
      <c r="H39" s="182"/>
      <c r="I39" s="182">
        <v>460</v>
      </c>
      <c r="J39" s="182">
        <v>460</v>
      </c>
      <c r="K39" s="182"/>
      <c r="L39" s="182">
        <f>2355893/1000</f>
        <v>2355.893</v>
      </c>
      <c r="M39" s="182"/>
      <c r="N39" s="182"/>
      <c r="O39" s="182">
        <v>177</v>
      </c>
      <c r="P39" s="182"/>
      <c r="Q39" s="183"/>
      <c r="S39" s="58">
        <f>IF(F39=0, ,L39/F39/($E$39*0.94))</f>
        <v>5.0125382978723403</v>
      </c>
      <c r="T39" s="58">
        <f t="shared" ref="T39:U39" si="46">IF(G39=0, ,M39/G39/($E$39*0.94))</f>
        <v>0</v>
      </c>
      <c r="U39" s="58">
        <f t="shared" si="46"/>
        <v>0</v>
      </c>
      <c r="V39" s="184">
        <f t="shared" si="3"/>
        <v>1</v>
      </c>
      <c r="W39" s="58">
        <f>(S39*([1]ИЦП!$B$94/100)*([1]ИЦП!$C$94/100)+T39*[1]ИЦП!$C$94/100+U39)/V39*([1]ИЦП!$D$94/100)*([1]ИЦП!$E$94/100)*1000</f>
        <v>6172.3874933985935</v>
      </c>
    </row>
    <row r="40" spans="1:23" x14ac:dyDescent="0.25">
      <c r="A40" s="327"/>
      <c r="B40" s="328"/>
      <c r="C40" s="329"/>
      <c r="D40" s="257"/>
      <c r="E40" s="116" t="s">
        <v>220</v>
      </c>
      <c r="F40" s="132">
        <f>SUM(F41)</f>
        <v>7</v>
      </c>
      <c r="G40" s="132">
        <f>SUM(G41)</f>
        <v>3</v>
      </c>
      <c r="H40" s="132">
        <f t="shared" ref="H40:Q40" si="47">SUM(H41)</f>
        <v>3</v>
      </c>
      <c r="I40" s="132">
        <v>579.6</v>
      </c>
      <c r="J40" s="132">
        <v>579.6</v>
      </c>
      <c r="K40" s="132">
        <v>579.6</v>
      </c>
      <c r="L40" s="132">
        <f t="shared" si="47"/>
        <v>8305.8225999999995</v>
      </c>
      <c r="M40" s="132">
        <f t="shared" si="47"/>
        <v>2711.13</v>
      </c>
      <c r="N40" s="132">
        <f t="shared" si="47"/>
        <v>4523.4179999999997</v>
      </c>
      <c r="O40" s="132">
        <f t="shared" si="47"/>
        <v>344</v>
      </c>
      <c r="P40" s="132">
        <f t="shared" si="47"/>
        <v>65</v>
      </c>
      <c r="Q40" s="132">
        <f t="shared" si="47"/>
        <v>510</v>
      </c>
      <c r="S40" s="52">
        <f>S41</f>
        <v>2.003623920490182</v>
      </c>
      <c r="T40" s="52">
        <f t="shared" ref="T40:U40" si="48">T41</f>
        <v>1.5260216143194869</v>
      </c>
      <c r="U40" s="52">
        <f t="shared" si="48"/>
        <v>2.546109422492401</v>
      </c>
      <c r="V40" s="122">
        <f t="shared" si="3"/>
        <v>3</v>
      </c>
      <c r="W40" s="52">
        <f>(S40*([1]ИЦП!$B$94/100)*([1]ИЦП!$C$94/100)+T40*[1]ИЦП!$C$94/100+U40)/V40*([1]ИЦП!$D$94/100)*([1]ИЦП!$E$94/100)*1000</f>
        <v>2350.379302833167</v>
      </c>
    </row>
    <row r="41" spans="1:23" x14ac:dyDescent="0.25">
      <c r="A41" s="327"/>
      <c r="B41" s="328"/>
      <c r="C41" s="329"/>
      <c r="D41" s="257"/>
      <c r="E41" s="190">
        <v>630</v>
      </c>
      <c r="F41" s="191">
        <v>7</v>
      </c>
      <c r="G41" s="191">
        <v>3</v>
      </c>
      <c r="H41" s="191">
        <v>3</v>
      </c>
      <c r="I41" s="191">
        <v>579.6</v>
      </c>
      <c r="J41" s="191">
        <v>579.6</v>
      </c>
      <c r="K41" s="191">
        <v>579.6</v>
      </c>
      <c r="L41" s="191">
        <f>8305822.6/1000</f>
        <v>8305.8225999999995</v>
      </c>
      <c r="M41" s="191">
        <f>2711130/1000</f>
        <v>2711.13</v>
      </c>
      <c r="N41" s="191">
        <v>4523.4179999999997</v>
      </c>
      <c r="O41" s="191">
        <v>344</v>
      </c>
      <c r="P41" s="191">
        <v>65</v>
      </c>
      <c r="Q41" s="192">
        <v>510</v>
      </c>
      <c r="S41" s="58">
        <f>IF(F41=0, ,L41/F41/($E$41*0.94))</f>
        <v>2.003623920490182</v>
      </c>
      <c r="T41" s="58">
        <f t="shared" ref="T41:U41" si="49">IF(G41=0, ,M41/G41/($E$41*0.94))</f>
        <v>1.5260216143194869</v>
      </c>
      <c r="U41" s="58">
        <f t="shared" si="49"/>
        <v>2.546109422492401</v>
      </c>
      <c r="V41" s="184">
        <f t="shared" si="3"/>
        <v>3</v>
      </c>
      <c r="W41" s="58">
        <f>(S41*([1]ИЦП!$B$94/100)*([1]ИЦП!$C$94/100)+T41*[1]ИЦП!$C$94/100+U41)/V41*([1]ИЦП!$D$94/100)*([1]ИЦП!$E$94/100)*1000</f>
        <v>2350.379302833167</v>
      </c>
    </row>
    <row r="42" spans="1:23" x14ac:dyDescent="0.25">
      <c r="A42" s="327"/>
      <c r="B42" s="328"/>
      <c r="C42" s="329"/>
      <c r="D42" s="257"/>
      <c r="E42" s="116" t="s">
        <v>221</v>
      </c>
      <c r="F42" s="132">
        <f>F43</f>
        <v>0</v>
      </c>
      <c r="G42" s="132">
        <f t="shared" ref="G42:Q42" si="50">G43</f>
        <v>0</v>
      </c>
      <c r="H42" s="132">
        <f t="shared" si="50"/>
        <v>1</v>
      </c>
      <c r="I42" s="132">
        <v>0</v>
      </c>
      <c r="J42" s="132">
        <v>0</v>
      </c>
      <c r="K42" s="132">
        <v>920</v>
      </c>
      <c r="L42" s="132">
        <f t="shared" si="50"/>
        <v>0</v>
      </c>
      <c r="M42" s="132">
        <f t="shared" si="50"/>
        <v>0</v>
      </c>
      <c r="N42" s="132">
        <f t="shared" si="50"/>
        <v>1770.2909999999999</v>
      </c>
      <c r="O42" s="132">
        <f t="shared" si="50"/>
        <v>0</v>
      </c>
      <c r="P42" s="132">
        <f t="shared" si="50"/>
        <v>0</v>
      </c>
      <c r="Q42" s="132">
        <f t="shared" si="50"/>
        <v>630</v>
      </c>
      <c r="S42" s="52">
        <f>S43</f>
        <v>0</v>
      </c>
      <c r="T42" s="52">
        <f t="shared" ref="T42:U42" si="51">T43</f>
        <v>0</v>
      </c>
      <c r="U42" s="52">
        <f t="shared" si="51"/>
        <v>1.8832882978723404</v>
      </c>
      <c r="V42" s="122">
        <f t="shared" si="3"/>
        <v>1</v>
      </c>
      <c r="W42" s="52">
        <f>(S42*([1]ИЦП!$B$94/100)*([1]ИЦП!$C$94/100)+T42*[1]ИЦП!$C$94/100+U42)/V42*([1]ИЦП!$D$94/100)*([1]ИЦП!$E$94/100)*1000</f>
        <v>2070.3528078777158</v>
      </c>
    </row>
    <row r="43" spans="1:23" ht="15.75" thickBot="1" x14ac:dyDescent="0.3">
      <c r="A43" s="330"/>
      <c r="B43" s="331"/>
      <c r="C43" s="332"/>
      <c r="D43" s="323"/>
      <c r="E43" s="151">
        <v>1000</v>
      </c>
      <c r="F43" s="185"/>
      <c r="G43" s="185"/>
      <c r="H43" s="185">
        <v>1</v>
      </c>
      <c r="I43" s="185"/>
      <c r="J43" s="185"/>
      <c r="K43" s="185">
        <v>920</v>
      </c>
      <c r="L43" s="185"/>
      <c r="M43" s="185"/>
      <c r="N43" s="185">
        <v>1770.2909999999999</v>
      </c>
      <c r="O43" s="185"/>
      <c r="P43" s="185"/>
      <c r="Q43" s="186">
        <v>630</v>
      </c>
      <c r="S43" s="58">
        <f>IF(F43=0, ,L43/F43/($E$43*0.94))</f>
        <v>0</v>
      </c>
      <c r="T43" s="58">
        <f t="shared" ref="T43:U43" si="52">IF(G43=0, ,M43/G43/($E$43*0.94))</f>
        <v>0</v>
      </c>
      <c r="U43" s="58">
        <f t="shared" si="52"/>
        <v>1.8832882978723404</v>
      </c>
      <c r="V43" s="184">
        <f t="shared" si="3"/>
        <v>1</v>
      </c>
      <c r="W43" s="58">
        <f>(S43*([1]ИЦП!$B$94/100)*([1]ИЦП!$C$94/100)+T43*[1]ИЦП!$C$94/100+U43)/V43*([1]ИЦП!$D$94/100)*([1]ИЦП!$E$94/100)*1000</f>
        <v>2070.3528078777158</v>
      </c>
    </row>
    <row r="44" spans="1:23" x14ac:dyDescent="0.25">
      <c r="A44" s="138"/>
      <c r="B44" s="138"/>
      <c r="C44" s="138"/>
      <c r="D44" s="138"/>
      <c r="E44" s="193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</row>
    <row r="45" spans="1:23" ht="15.75" hidden="1" outlineLevel="1" x14ac:dyDescent="0.25">
      <c r="E45" s="168" t="s">
        <v>189</v>
      </c>
      <c r="F45" s="195">
        <f t="shared" ref="F45:G45" si="53">F7+F9+F13+F16+F18+F20+F22+F24+F26+F28+F30+F34+F37+F40+F42</f>
        <v>61</v>
      </c>
      <c r="G45" s="195">
        <f t="shared" si="53"/>
        <v>51</v>
      </c>
      <c r="H45" s="195">
        <f>H7+H9+H13+H16+H18+H20+H22+H24+H26+H28+H30+H34+H37+H40+H42</f>
        <v>41</v>
      </c>
      <c r="I45" s="195">
        <f t="shared" ref="I45:Q45" si="54">I7+I9+I13+I16+I18+I20+I22+I24+I26+I28+I30+I34+I37+I40+I42</f>
        <v>4242.1200000000008</v>
      </c>
      <c r="J45" s="195">
        <f t="shared" si="54"/>
        <v>3694.72</v>
      </c>
      <c r="K45" s="195">
        <f t="shared" si="54"/>
        <v>5010.32</v>
      </c>
      <c r="L45" s="195">
        <f t="shared" si="54"/>
        <v>58055.835070000001</v>
      </c>
      <c r="M45" s="195">
        <f t="shared" si="54"/>
        <v>41379.049989999992</v>
      </c>
      <c r="N45" s="195">
        <f t="shared" si="54"/>
        <v>29367.261609999998</v>
      </c>
      <c r="O45" s="195">
        <f t="shared" si="54"/>
        <v>5244.5</v>
      </c>
      <c r="P45" s="195">
        <f t="shared" si="54"/>
        <v>3692</v>
      </c>
      <c r="Q45" s="195">
        <f t="shared" si="54"/>
        <v>3141</v>
      </c>
    </row>
    <row r="46" spans="1:23" collapsed="1" x14ac:dyDescent="0.25"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1:23" x14ac:dyDescent="0.25"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</row>
    <row r="48" spans="1:23" x14ac:dyDescent="0.25"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6:17" x14ac:dyDescent="0.25"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</row>
    <row r="50" spans="6:17" x14ac:dyDescent="0.25"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</row>
    <row r="51" spans="6:17" x14ac:dyDescent="0.25"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6:17" x14ac:dyDescent="0.25"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6:17" x14ac:dyDescent="0.25"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6:17" x14ac:dyDescent="0.25">
      <c r="F54" s="158"/>
      <c r="G54" s="158"/>
      <c r="H54" s="158"/>
      <c r="I54" s="158"/>
      <c r="J54" s="158"/>
      <c r="K54" s="158"/>
      <c r="L54" s="158"/>
      <c r="M54" s="158"/>
      <c r="N54" s="112"/>
      <c r="O54" s="158"/>
      <c r="P54" s="158"/>
    </row>
  </sheetData>
  <mergeCells count="15">
    <mergeCell ref="S5:U5"/>
    <mergeCell ref="A7:C27"/>
    <mergeCell ref="D7:D21"/>
    <mergeCell ref="D22:D27"/>
    <mergeCell ref="A28:C43"/>
    <mergeCell ref="D28:D43"/>
    <mergeCell ref="A1:Q1"/>
    <mergeCell ref="A3:Q3"/>
    <mergeCell ref="A5:C6"/>
    <mergeCell ref="D5:D6"/>
    <mergeCell ref="E5:E6"/>
    <mergeCell ref="F5:H5"/>
    <mergeCell ref="I5:K5"/>
    <mergeCell ref="L5:N5"/>
    <mergeCell ref="O5:Q5"/>
  </mergeCells>
  <pageMargins left="0.70866141732283472" right="0.70866141732283472" top="0.74803149606299213" bottom="0.74803149606299213" header="0.31496062992125984" footer="0.31496062992125984"/>
  <pageSetup paperSize="9" scale="48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view="pageBreakPreview" topLeftCell="A21" zoomScaleNormal="100" zoomScaleSheetLayoutView="100" workbookViewId="0">
      <selection activeCell="G42" sqref="G42"/>
    </sheetView>
  </sheetViews>
  <sheetFormatPr defaultRowHeight="15" outlineLevelRow="1" x14ac:dyDescent="0.25"/>
  <cols>
    <col min="1" max="1" width="4.140625" customWidth="1"/>
    <col min="2" max="2" width="52.5703125" customWidth="1"/>
    <col min="3" max="3" width="18.7109375" customWidth="1"/>
    <col min="4" max="4" width="16.7109375" customWidth="1"/>
  </cols>
  <sheetData>
    <row r="1" spans="1:4" hidden="1" outlineLevel="1" x14ac:dyDescent="0.25"/>
    <row r="2" spans="1:4" hidden="1" outlineLevel="1" x14ac:dyDescent="0.25"/>
    <row r="3" spans="1:4" collapsed="1" x14ac:dyDescent="0.25">
      <c r="C3" t="s">
        <v>91</v>
      </c>
    </row>
    <row r="4" spans="1:4" x14ac:dyDescent="0.25">
      <c r="C4" t="s">
        <v>1</v>
      </c>
    </row>
    <row r="5" spans="1:4" x14ac:dyDescent="0.25">
      <c r="C5" t="s">
        <v>2</v>
      </c>
    </row>
    <row r="6" spans="1:4" x14ac:dyDescent="0.25">
      <c r="C6" t="s">
        <v>3</v>
      </c>
    </row>
    <row r="8" spans="1:4" hidden="1" outlineLevel="1" x14ac:dyDescent="0.25"/>
    <row r="9" spans="1:4" collapsed="1" x14ac:dyDescent="0.25"/>
    <row r="10" spans="1:4" x14ac:dyDescent="0.25">
      <c r="A10" s="203" t="s">
        <v>9</v>
      </c>
      <c r="B10" s="204"/>
      <c r="C10" s="204"/>
    </row>
    <row r="11" spans="1:4" ht="30" customHeight="1" x14ac:dyDescent="0.25">
      <c r="A11" s="205" t="s">
        <v>105</v>
      </c>
      <c r="B11" s="205"/>
      <c r="C11" s="204"/>
      <c r="D11" s="204"/>
    </row>
    <row r="13" spans="1:4" x14ac:dyDescent="0.25">
      <c r="D13" s="9" t="s">
        <v>10</v>
      </c>
    </row>
    <row r="15" spans="1:4" ht="90" x14ac:dyDescent="0.25">
      <c r="A15" s="33" t="s">
        <v>8</v>
      </c>
      <c r="B15" s="34" t="s">
        <v>11</v>
      </c>
      <c r="C15" s="38" t="s">
        <v>103</v>
      </c>
      <c r="D15" s="38" t="s">
        <v>104</v>
      </c>
    </row>
    <row r="16" spans="1:4" s="23" customFormat="1" ht="30" x14ac:dyDescent="0.25">
      <c r="A16" s="200">
        <v>1</v>
      </c>
      <c r="B16" s="27" t="s">
        <v>12</v>
      </c>
      <c r="C16" s="28">
        <f>C18+C19+C20+C21+C22+C33</f>
        <v>41600.979999999996</v>
      </c>
      <c r="D16" s="28">
        <f>D18+D19+D20+D21+D22+D33</f>
        <v>45378.777999999998</v>
      </c>
    </row>
    <row r="17" spans="1:4" x14ac:dyDescent="0.25">
      <c r="A17" s="201"/>
      <c r="B17" s="5" t="s">
        <v>13</v>
      </c>
      <c r="C17" s="21"/>
      <c r="D17" s="1"/>
    </row>
    <row r="18" spans="1:4" x14ac:dyDescent="0.25">
      <c r="A18" s="201"/>
      <c r="B18" s="25" t="s">
        <v>14</v>
      </c>
      <c r="C18" s="24"/>
      <c r="D18" s="196"/>
    </row>
    <row r="19" spans="1:4" x14ac:dyDescent="0.25">
      <c r="A19" s="201"/>
      <c r="B19" s="25" t="s">
        <v>15</v>
      </c>
      <c r="C19" s="24">
        <f>5.13+117.15</f>
        <v>122.28</v>
      </c>
      <c r="D19" s="24">
        <v>263.26107626893764</v>
      </c>
    </row>
    <row r="20" spans="1:4" x14ac:dyDescent="0.25">
      <c r="A20" s="201"/>
      <c r="B20" s="25" t="s">
        <v>16</v>
      </c>
      <c r="C20" s="24">
        <v>29625.05</v>
      </c>
      <c r="D20" s="24">
        <v>31506.044039476914</v>
      </c>
    </row>
    <row r="21" spans="1:4" x14ac:dyDescent="0.25">
      <c r="A21" s="201"/>
      <c r="B21" s="25" t="s">
        <v>17</v>
      </c>
      <c r="C21" s="24">
        <v>8617.4</v>
      </c>
      <c r="D21" s="24">
        <v>9307.2851741690829</v>
      </c>
    </row>
    <row r="22" spans="1:4" x14ac:dyDescent="0.25">
      <c r="A22" s="201"/>
      <c r="B22" s="25" t="s">
        <v>18</v>
      </c>
      <c r="C22" s="24">
        <f>C24+C25+C26</f>
        <v>3236.2500000000005</v>
      </c>
      <c r="D22" s="24">
        <f>D24+D25+D26</f>
        <v>4302.1877100850606</v>
      </c>
    </row>
    <row r="23" spans="1:4" x14ac:dyDescent="0.25">
      <c r="A23" s="201"/>
      <c r="B23" s="6" t="s">
        <v>19</v>
      </c>
      <c r="C23" s="21"/>
      <c r="D23" s="21"/>
    </row>
    <row r="24" spans="1:4" x14ac:dyDescent="0.25">
      <c r="A24" s="201"/>
      <c r="B24" s="4" t="s">
        <v>20</v>
      </c>
      <c r="C24" s="21">
        <v>22.8</v>
      </c>
      <c r="D24" s="21">
        <v>89.802017267951655</v>
      </c>
    </row>
    <row r="25" spans="1:4" ht="30" x14ac:dyDescent="0.25">
      <c r="A25" s="201"/>
      <c r="B25" s="4" t="s">
        <v>21</v>
      </c>
      <c r="C25" s="21">
        <v>1492.33</v>
      </c>
      <c r="D25" s="21">
        <v>2199.3651693212637</v>
      </c>
    </row>
    <row r="26" spans="1:4" ht="30" x14ac:dyDescent="0.25">
      <c r="A26" s="201"/>
      <c r="B26" s="39" t="s">
        <v>22</v>
      </c>
      <c r="C26" s="24">
        <f>C28+C29+C30+C31+C32</f>
        <v>1721.1200000000006</v>
      </c>
      <c r="D26" s="24">
        <f>D28+D29+D30+D31+D32</f>
        <v>2013.0205234958451</v>
      </c>
    </row>
    <row r="27" spans="1:4" x14ac:dyDescent="0.25">
      <c r="A27" s="201"/>
      <c r="B27" s="4" t="s">
        <v>13</v>
      </c>
      <c r="C27" s="21"/>
      <c r="D27" s="21"/>
    </row>
    <row r="28" spans="1:4" x14ac:dyDescent="0.25">
      <c r="A28" s="201"/>
      <c r="B28" s="7" t="s">
        <v>23</v>
      </c>
      <c r="C28" s="21">
        <v>27.49</v>
      </c>
      <c r="D28" s="21">
        <v>43.084319582457454</v>
      </c>
    </row>
    <row r="29" spans="1:4" x14ac:dyDescent="0.25">
      <c r="A29" s="201"/>
      <c r="B29" s="7" t="s">
        <v>24</v>
      </c>
      <c r="C29" s="21">
        <f>0.19+49.63</f>
        <v>49.82</v>
      </c>
      <c r="D29" s="21">
        <v>86.327475366140561</v>
      </c>
    </row>
    <row r="30" spans="1:4" ht="30" x14ac:dyDescent="0.25">
      <c r="A30" s="201"/>
      <c r="B30" s="7" t="s">
        <v>34</v>
      </c>
      <c r="C30" s="43">
        <f>0.02+0.07+25.88</f>
        <v>25.97</v>
      </c>
      <c r="D30" s="21">
        <v>46.221334556664033</v>
      </c>
    </row>
    <row r="31" spans="1:4" x14ac:dyDescent="0.25">
      <c r="A31" s="201"/>
      <c r="B31" s="7" t="s">
        <v>25</v>
      </c>
      <c r="C31" s="21">
        <v>24.23</v>
      </c>
      <c r="D31" s="21">
        <v>10.284644029360811</v>
      </c>
    </row>
    <row r="32" spans="1:4" ht="30" x14ac:dyDescent="0.25">
      <c r="A32" s="201"/>
      <c r="B32" s="7" t="s">
        <v>26</v>
      </c>
      <c r="C32" s="21">
        <f>41600.98-40007.37</f>
        <v>1593.6100000000006</v>
      </c>
      <c r="D32" s="21">
        <v>1827.1027499612221</v>
      </c>
    </row>
    <row r="33" spans="1:4" x14ac:dyDescent="0.25">
      <c r="A33" s="201"/>
      <c r="B33" s="26" t="s">
        <v>27</v>
      </c>
      <c r="C33" s="24">
        <f>C35+C36+C37+C38</f>
        <v>0</v>
      </c>
      <c r="D33" s="24">
        <f>D35+D36+D37+D38</f>
        <v>0</v>
      </c>
    </row>
    <row r="34" spans="1:4" x14ac:dyDescent="0.25">
      <c r="A34" s="201"/>
      <c r="B34" s="7" t="s">
        <v>13</v>
      </c>
      <c r="C34" s="21"/>
      <c r="D34" s="21"/>
    </row>
    <row r="35" spans="1:4" x14ac:dyDescent="0.25">
      <c r="A35" s="201"/>
      <c r="B35" s="8" t="s">
        <v>28</v>
      </c>
      <c r="C35" s="21"/>
      <c r="D35" s="21"/>
    </row>
    <row r="36" spans="1:4" x14ac:dyDescent="0.25">
      <c r="A36" s="201"/>
      <c r="B36" s="8" t="s">
        <v>29</v>
      </c>
      <c r="C36" s="21"/>
      <c r="D36" s="21"/>
    </row>
    <row r="37" spans="1:4" x14ac:dyDescent="0.25">
      <c r="A37" s="201"/>
      <c r="B37" s="8" t="s">
        <v>30</v>
      </c>
      <c r="C37" s="21">
        <v>0</v>
      </c>
      <c r="D37" s="21">
        <v>0</v>
      </c>
    </row>
    <row r="38" spans="1:4" ht="30" x14ac:dyDescent="0.25">
      <c r="A38" s="202"/>
      <c r="B38" s="8" t="s">
        <v>31</v>
      </c>
      <c r="C38" s="21">
        <v>0</v>
      </c>
      <c r="D38" s="21">
        <v>0</v>
      </c>
    </row>
    <row r="39" spans="1:4" s="23" customFormat="1" ht="75" x14ac:dyDescent="0.25">
      <c r="A39" s="40">
        <v>2</v>
      </c>
      <c r="B39" s="27" t="s">
        <v>32</v>
      </c>
      <c r="C39" s="28">
        <v>615957</v>
      </c>
      <c r="D39" s="28">
        <f>115727.416+72607.389+23902.038</f>
        <v>212236.84299999999</v>
      </c>
    </row>
    <row r="40" spans="1:4" x14ac:dyDescent="0.25">
      <c r="A40" s="34"/>
      <c r="B40" s="4" t="s">
        <v>13</v>
      </c>
      <c r="C40" s="21"/>
      <c r="D40" s="21"/>
    </row>
    <row r="41" spans="1:4" x14ac:dyDescent="0.25">
      <c r="A41" s="34">
        <v>3</v>
      </c>
      <c r="B41" s="2" t="s">
        <v>33</v>
      </c>
      <c r="C41" s="42">
        <f>62207+2828*14.13</f>
        <v>102166.64</v>
      </c>
      <c r="D41" s="21">
        <f>39985.639+115727.42-1247.13+72607.39</f>
        <v>227073.31900000002</v>
      </c>
    </row>
    <row r="42" spans="1:4" s="23" customFormat="1" ht="30" x14ac:dyDescent="0.25">
      <c r="A42" s="40"/>
      <c r="B42" s="27" t="s">
        <v>223</v>
      </c>
      <c r="C42" s="28">
        <f>C16+C39</f>
        <v>657557.98</v>
      </c>
      <c r="D42" s="28">
        <f t="shared" ref="D42" si="0">D16+D39</f>
        <v>257615.62099999998</v>
      </c>
    </row>
  </sheetData>
  <customSheetViews>
    <customSheetView guid="{590CC574-4B1C-4AB8-AB4D-7FAB395FC0A2}" showPageBreaks="1" fitToPage="1" hiddenRows="1" view="pageBreakPreview" topLeftCell="A3">
      <selection sqref="A1:XFD2"/>
      <pageMargins left="0.98425196850393704" right="0.59055118110236227" top="0.78740157480314965" bottom="0.78740157480314965" header="0" footer="0"/>
      <pageSetup paperSize="9" scale="88" fitToHeight="100" orientation="portrait" r:id="rId1"/>
    </customSheetView>
    <customSheetView guid="{1F1EC9A1-559B-45BE-A366-DE40EA2885B6}" showPageBreaks="1" fitToPage="1" hiddenRows="1" view="pageBreakPreview" topLeftCell="A3">
      <selection sqref="A1:XFD2"/>
      <pageMargins left="0.98425196850393704" right="0.59055118110236227" top="0.78740157480314965" bottom="0.78740157480314965" header="0" footer="0"/>
      <pageSetup paperSize="9" scale="88" fitToHeight="100" orientation="portrait" r:id="rId2"/>
    </customSheetView>
  </customSheetViews>
  <mergeCells count="3">
    <mergeCell ref="A16:A38"/>
    <mergeCell ref="A10:C10"/>
    <mergeCell ref="A11:D11"/>
  </mergeCells>
  <pageMargins left="0.98425196850393704" right="0.59055118110236227" top="0.78740157480314965" bottom="0.78740157480314965" header="0" footer="0"/>
  <pageSetup paperSize="9" scale="92" fitToHeight="10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5"/>
  <sheetViews>
    <sheetView view="pageBreakPreview" topLeftCell="A4" zoomScaleNormal="100" zoomScaleSheetLayoutView="100" workbookViewId="0">
      <selection activeCell="C24" sqref="C24"/>
    </sheetView>
  </sheetViews>
  <sheetFormatPr defaultRowHeight="15" outlineLevelRow="1" x14ac:dyDescent="0.25"/>
  <cols>
    <col min="1" max="1" width="4" customWidth="1"/>
    <col min="2" max="2" width="46.28515625" customWidth="1"/>
    <col min="3" max="3" width="17.85546875" customWidth="1"/>
    <col min="4" max="4" width="18.85546875" customWidth="1"/>
  </cols>
  <sheetData>
    <row r="1" spans="1:7" x14ac:dyDescent="0.25">
      <c r="C1" t="s">
        <v>92</v>
      </c>
    </row>
    <row r="2" spans="1:7" x14ac:dyDescent="0.25">
      <c r="C2" t="s">
        <v>1</v>
      </c>
    </row>
    <row r="3" spans="1:7" x14ac:dyDescent="0.25">
      <c r="C3" t="s">
        <v>2</v>
      </c>
    </row>
    <row r="4" spans="1:7" x14ac:dyDescent="0.25">
      <c r="C4" t="s">
        <v>3</v>
      </c>
    </row>
    <row r="6" spans="1:7" hidden="1" outlineLevel="1" x14ac:dyDescent="0.25">
      <c r="C6" t="s">
        <v>4</v>
      </c>
    </row>
    <row r="7" spans="1:7" collapsed="1" x14ac:dyDescent="0.25"/>
    <row r="8" spans="1:7" x14ac:dyDescent="0.25">
      <c r="A8" s="203" t="s">
        <v>35</v>
      </c>
      <c r="B8" s="203"/>
      <c r="C8" s="203"/>
      <c r="D8" s="203"/>
    </row>
    <row r="9" spans="1:7" x14ac:dyDescent="0.25">
      <c r="A9" s="203" t="s">
        <v>36</v>
      </c>
      <c r="B9" s="203"/>
      <c r="C9" s="203"/>
      <c r="D9" s="203"/>
    </row>
    <row r="10" spans="1:7" x14ac:dyDescent="0.25">
      <c r="A10" s="203" t="s">
        <v>106</v>
      </c>
      <c r="B10" s="203"/>
      <c r="C10" s="203"/>
      <c r="D10" s="203"/>
    </row>
    <row r="12" spans="1:7" ht="88.5" customHeight="1" x14ac:dyDescent="0.25">
      <c r="A12" s="15" t="s">
        <v>8</v>
      </c>
      <c r="B12" s="16" t="s">
        <v>6</v>
      </c>
      <c r="C12" s="15" t="s">
        <v>37</v>
      </c>
      <c r="D12" s="15" t="s">
        <v>38</v>
      </c>
    </row>
    <row r="13" spans="1:7" ht="30" x14ac:dyDescent="0.25">
      <c r="A13" s="16">
        <v>1</v>
      </c>
      <c r="B13" s="2" t="s">
        <v>39</v>
      </c>
      <c r="C13" s="18" t="s">
        <v>90</v>
      </c>
      <c r="D13" s="18" t="s">
        <v>90</v>
      </c>
      <c r="E13">
        <v>2015</v>
      </c>
      <c r="F13">
        <v>2016</v>
      </c>
      <c r="G13">
        <v>2017</v>
      </c>
    </row>
    <row r="14" spans="1:7" ht="60" x14ac:dyDescent="0.25">
      <c r="A14" s="16">
        <v>2</v>
      </c>
      <c r="B14" s="2" t="s">
        <v>40</v>
      </c>
      <c r="C14" s="19">
        <f>AVERAGE(58055.84,41379.05,29367.26)</f>
        <v>42934.049999999996</v>
      </c>
      <c r="D14" s="20">
        <f>AVERAGE(E14:G14)</f>
        <v>13866.253333333332</v>
      </c>
      <c r="E14" s="44">
        <f>(25*4+40*2+63+160*2+250*24+400*16+500+630*8+1000*2)*0.94</f>
        <v>19272.82</v>
      </c>
      <c r="F14" s="44">
        <f>(25*8+40*9+63+100*2+160*3+250*14+400*14+630*3)*0.94</f>
        <v>11555.42</v>
      </c>
      <c r="G14" s="44">
        <f>(25*17+40*4+63+160*3+250*3+400*7+630*6+1000*3)*0.94</f>
        <v>10770.519999999999</v>
      </c>
    </row>
    <row r="15" spans="1:7" ht="30" x14ac:dyDescent="0.25">
      <c r="A15" s="16">
        <v>3</v>
      </c>
      <c r="B15" s="2" t="s">
        <v>41</v>
      </c>
      <c r="C15" s="18" t="s">
        <v>90</v>
      </c>
      <c r="D15" s="18" t="s">
        <v>90</v>
      </c>
    </row>
  </sheetData>
  <customSheetViews>
    <customSheetView guid="{590CC574-4B1C-4AB8-AB4D-7FAB395FC0A2}" showPageBreaks="1" fitToPage="1" printArea="1" hiddenRows="1" view="pageBreakPreview">
      <selection activeCell="C2" sqref="C2"/>
      <pageMargins left="0.98425196850393704" right="0.59055118110236227" top="0.78740157480314965" bottom="0.78740157480314965" header="0" footer="0"/>
      <pageSetup paperSize="9" scale="98" fitToHeight="110" orientation="portrait" r:id="rId1"/>
    </customSheetView>
    <customSheetView guid="{1F1EC9A1-559B-45BE-A366-DE40EA2885B6}" showPageBreaks="1" fitToPage="1" printArea="1" hiddenRows="1" view="pageBreakPreview">
      <selection activeCell="C2" sqref="C2"/>
      <pageMargins left="0.98425196850393704" right="0.59055118110236227" top="0.78740157480314965" bottom="0.78740157480314965" header="0" footer="0"/>
      <pageSetup paperSize="9" scale="98" fitToHeight="110" orientation="portrait" r:id="rId2"/>
    </customSheetView>
  </customSheetViews>
  <mergeCells count="3">
    <mergeCell ref="A8:D8"/>
    <mergeCell ref="A9:D9"/>
    <mergeCell ref="A10:D10"/>
  </mergeCells>
  <pageMargins left="0.98425196850393704" right="0.59055118110236227" top="0.78740157480314965" bottom="0.78740157480314965" header="0" footer="0"/>
  <pageSetup paperSize="9" scale="98" fitToHeight="11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1"/>
  <sheetViews>
    <sheetView view="pageBreakPreview" zoomScale="106" zoomScaleNormal="100" zoomScaleSheetLayoutView="106" workbookViewId="0">
      <selection activeCell="F24" sqref="F24"/>
    </sheetView>
  </sheetViews>
  <sheetFormatPr defaultRowHeight="15" outlineLevelRow="1" x14ac:dyDescent="0.25"/>
  <cols>
    <col min="1" max="1" width="4" customWidth="1"/>
    <col min="2" max="2" width="30.28515625" customWidth="1"/>
    <col min="3" max="4" width="17.140625" customWidth="1"/>
    <col min="5" max="5" width="18.42578125" customWidth="1"/>
    <col min="6" max="6" width="16" customWidth="1"/>
  </cols>
  <sheetData>
    <row r="1" spans="1:5" x14ac:dyDescent="0.25">
      <c r="D1" t="s">
        <v>93</v>
      </c>
    </row>
    <row r="2" spans="1:5" x14ac:dyDescent="0.25">
      <c r="D2" t="s">
        <v>1</v>
      </c>
    </row>
    <row r="3" spans="1:5" x14ac:dyDescent="0.25">
      <c r="D3" t="s">
        <v>2</v>
      </c>
    </row>
    <row r="4" spans="1:5" x14ac:dyDescent="0.25">
      <c r="D4" t="s">
        <v>3</v>
      </c>
    </row>
    <row r="6" spans="1:5" hidden="1" outlineLevel="1" x14ac:dyDescent="0.25">
      <c r="D6" t="s">
        <v>4</v>
      </c>
    </row>
    <row r="7" spans="1:5" collapsed="1" x14ac:dyDescent="0.25"/>
    <row r="8" spans="1:5" x14ac:dyDescent="0.25">
      <c r="A8" s="203" t="s">
        <v>35</v>
      </c>
      <c r="B8" s="203"/>
      <c r="C8" s="203"/>
      <c r="D8" s="203"/>
      <c r="E8" s="203"/>
    </row>
    <row r="9" spans="1:5" x14ac:dyDescent="0.25">
      <c r="A9" s="203" t="s">
        <v>42</v>
      </c>
      <c r="B9" s="203"/>
      <c r="C9" s="203"/>
      <c r="D9" s="203"/>
      <c r="E9" s="203"/>
    </row>
    <row r="10" spans="1:5" x14ac:dyDescent="0.25">
      <c r="A10" s="203" t="s">
        <v>107</v>
      </c>
      <c r="B10" s="203"/>
      <c r="C10" s="203"/>
      <c r="D10" s="203"/>
      <c r="E10" s="203"/>
    </row>
    <row r="11" spans="1:5" x14ac:dyDescent="0.25">
      <c r="A11" s="203" t="s">
        <v>43</v>
      </c>
      <c r="B11" s="203"/>
      <c r="C11" s="203"/>
      <c r="D11" s="203"/>
      <c r="E11" s="203"/>
    </row>
    <row r="13" spans="1:5" ht="180" x14ac:dyDescent="0.25">
      <c r="A13" s="15" t="s">
        <v>8</v>
      </c>
      <c r="B13" s="15" t="s">
        <v>6</v>
      </c>
      <c r="C13" s="15" t="s">
        <v>44</v>
      </c>
      <c r="D13" s="15" t="s">
        <v>45</v>
      </c>
      <c r="E13" s="15" t="s">
        <v>46</v>
      </c>
    </row>
    <row r="14" spans="1:5" x14ac:dyDescent="0.25">
      <c r="A14" s="16">
        <v>1</v>
      </c>
      <c r="B14" s="3" t="s">
        <v>47</v>
      </c>
      <c r="C14" s="1"/>
      <c r="D14" s="1"/>
      <c r="E14" s="1"/>
    </row>
    <row r="15" spans="1:5" x14ac:dyDescent="0.25">
      <c r="A15" s="16"/>
      <c r="B15" s="10" t="s">
        <v>48</v>
      </c>
      <c r="C15" s="21">
        <v>178.76</v>
      </c>
      <c r="D15" s="21">
        <f>84/1000</f>
        <v>8.4000000000000005E-2</v>
      </c>
      <c r="E15" s="41">
        <v>151</v>
      </c>
    </row>
    <row r="16" spans="1:5" x14ac:dyDescent="0.25">
      <c r="A16" s="16"/>
      <c r="B16" s="10" t="s">
        <v>49</v>
      </c>
      <c r="C16" s="21">
        <f>AVERAGE(4124.161,389.18,953.994)</f>
        <v>1822.4449999999999</v>
      </c>
      <c r="D16" s="21">
        <f>AVERAGE(2.307,0.162,0.418)</f>
        <v>0.96233333333333337</v>
      </c>
      <c r="E16" s="41">
        <f>AVERAGE(1351,780,330)</f>
        <v>820.33333333333337</v>
      </c>
    </row>
    <row r="17" spans="1:5" x14ac:dyDescent="0.25">
      <c r="A17" s="16"/>
      <c r="B17" s="10" t="s">
        <v>50</v>
      </c>
      <c r="C17" s="17" t="s">
        <v>90</v>
      </c>
      <c r="D17" s="17" t="s">
        <v>90</v>
      </c>
      <c r="E17" s="17" t="s">
        <v>90</v>
      </c>
    </row>
    <row r="18" spans="1:5" x14ac:dyDescent="0.25">
      <c r="A18" s="16">
        <v>2</v>
      </c>
      <c r="B18" s="1" t="s">
        <v>51</v>
      </c>
      <c r="C18" s="1"/>
      <c r="D18" s="1"/>
      <c r="E18" s="1"/>
    </row>
    <row r="19" spans="1:5" x14ac:dyDescent="0.25">
      <c r="A19" s="16"/>
      <c r="B19" s="10" t="s">
        <v>48</v>
      </c>
      <c r="C19" s="21">
        <f>AVERAGE(100840.97,115770.25,124041.64)</f>
        <v>113550.95333333332</v>
      </c>
      <c r="D19" s="21">
        <f>AVERAGE(119.95595,145.932,121.447)</f>
        <v>129.11165</v>
      </c>
      <c r="E19" s="41">
        <f>AVERAGE(9810.8,11926,4157.5)</f>
        <v>8631.4333333333325</v>
      </c>
    </row>
    <row r="20" spans="1:5" x14ac:dyDescent="0.25">
      <c r="A20" s="16"/>
      <c r="B20" s="10" t="s">
        <v>49</v>
      </c>
      <c r="C20" s="21">
        <f>AVERAGE(23364.075,35171.916,26052.854)</f>
        <v>28196.281666666666</v>
      </c>
      <c r="D20" s="21">
        <f>AVERAGE(22.23375,32.533,17.617)</f>
        <v>24.127916666666668</v>
      </c>
      <c r="E20" s="41">
        <f>AVERAGE(6524.5,4059,3005)</f>
        <v>4529.5</v>
      </c>
    </row>
    <row r="21" spans="1:5" x14ac:dyDescent="0.25">
      <c r="A21" s="16"/>
      <c r="B21" s="10" t="s">
        <v>50</v>
      </c>
      <c r="C21" s="17" t="s">
        <v>90</v>
      </c>
      <c r="D21" s="17" t="s">
        <v>90</v>
      </c>
      <c r="E21" s="17" t="s">
        <v>90</v>
      </c>
    </row>
  </sheetData>
  <customSheetViews>
    <customSheetView guid="{590CC574-4B1C-4AB8-AB4D-7FAB395FC0A2}" scale="106" showPageBreaks="1" fitToPage="1" hiddenRows="1" view="pageBreakPreview">
      <selection activeCell="C20" activeCellId="3" sqref="C15 C16 C19 C20"/>
      <pageMargins left="0.98425196850393704" right="0.59055118110236227" top="0.78740157480314965" bottom="0.78740157480314965" header="0" footer="0"/>
      <pageSetup paperSize="9" scale="98" fitToHeight="100" orientation="portrait" r:id="rId1"/>
    </customSheetView>
    <customSheetView guid="{1F1EC9A1-559B-45BE-A366-DE40EA2885B6}" scale="106" showPageBreaks="1" fitToPage="1" hiddenRows="1" view="pageBreakPreview">
      <selection activeCell="C20" activeCellId="3" sqref="C15 C16 C19 C20"/>
      <pageMargins left="0.98425196850393704" right="0.59055118110236227" top="0.78740157480314965" bottom="0.78740157480314965" header="0" footer="0"/>
      <pageSetup paperSize="9" scale="98" fitToHeight="100" orientation="portrait" r:id="rId2"/>
    </customSheetView>
  </customSheetViews>
  <mergeCells count="4">
    <mergeCell ref="A8:E8"/>
    <mergeCell ref="A9:E9"/>
    <mergeCell ref="A10:E10"/>
    <mergeCell ref="A11:E11"/>
  </mergeCells>
  <pageMargins left="0.98425196850393704" right="0.59055118110236227" top="0.78740157480314965" bottom="0.78740157480314965" header="0" footer="0"/>
  <pageSetup paperSize="9" scale="97" fitToHeight="100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"/>
  <sheetViews>
    <sheetView view="pageBreakPreview" topLeftCell="A4" zoomScaleNormal="100" zoomScaleSheetLayoutView="100" workbookViewId="0">
      <selection activeCell="C14" sqref="C14:K29"/>
    </sheetView>
  </sheetViews>
  <sheetFormatPr defaultRowHeight="15" outlineLevelRow="1" x14ac:dyDescent="0.25"/>
  <cols>
    <col min="1" max="1" width="4.140625" customWidth="1"/>
    <col min="2" max="2" width="20" customWidth="1"/>
    <col min="3" max="3" width="7.28515625" customWidth="1"/>
    <col min="4" max="4" width="7.85546875" customWidth="1"/>
    <col min="5" max="5" width="7.7109375" customWidth="1"/>
    <col min="6" max="6" width="7.28515625" customWidth="1"/>
    <col min="7" max="8" width="7.7109375" customWidth="1"/>
    <col min="9" max="9" width="7.28515625" customWidth="1"/>
    <col min="10" max="11" width="7.7109375" customWidth="1"/>
  </cols>
  <sheetData>
    <row r="1" spans="1:11" x14ac:dyDescent="0.25">
      <c r="G1" t="s">
        <v>94</v>
      </c>
    </row>
    <row r="2" spans="1:11" x14ac:dyDescent="0.25">
      <c r="G2" t="s">
        <v>1</v>
      </c>
    </row>
    <row r="3" spans="1:11" x14ac:dyDescent="0.25">
      <c r="G3" t="s">
        <v>2</v>
      </c>
    </row>
    <row r="4" spans="1:11" x14ac:dyDescent="0.25">
      <c r="G4" t="s">
        <v>3</v>
      </c>
    </row>
    <row r="6" spans="1:11" hidden="1" outlineLevel="1" x14ac:dyDescent="0.25">
      <c r="G6" t="s">
        <v>4</v>
      </c>
    </row>
    <row r="7" spans="1:11" collapsed="1" x14ac:dyDescent="0.25"/>
    <row r="8" spans="1:11" x14ac:dyDescent="0.25">
      <c r="A8" s="203" t="s">
        <v>52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 x14ac:dyDescent="0.25">
      <c r="A9" s="203" t="s">
        <v>53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spans="1:11" x14ac:dyDescent="0.25">
      <c r="A10" s="203" t="s">
        <v>108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2" spans="1:11" ht="27" customHeight="1" x14ac:dyDescent="0.25">
      <c r="A12" s="209" t="s">
        <v>8</v>
      </c>
      <c r="B12" s="211" t="s">
        <v>54</v>
      </c>
      <c r="C12" s="208" t="s">
        <v>55</v>
      </c>
      <c r="D12" s="208"/>
      <c r="E12" s="208"/>
      <c r="F12" s="208" t="s">
        <v>56</v>
      </c>
      <c r="G12" s="208"/>
      <c r="H12" s="208"/>
      <c r="I12" s="208" t="s">
        <v>57</v>
      </c>
      <c r="J12" s="208"/>
      <c r="K12" s="208"/>
    </row>
    <row r="13" spans="1:11" ht="30" x14ac:dyDescent="0.25">
      <c r="A13" s="210"/>
      <c r="B13" s="212"/>
      <c r="C13" s="35" t="s">
        <v>48</v>
      </c>
      <c r="D13" s="35" t="s">
        <v>49</v>
      </c>
      <c r="E13" s="35" t="s">
        <v>58</v>
      </c>
      <c r="F13" s="35" t="s">
        <v>48</v>
      </c>
      <c r="G13" s="35" t="s">
        <v>49</v>
      </c>
      <c r="H13" s="35" t="s">
        <v>58</v>
      </c>
      <c r="I13" s="35" t="s">
        <v>48</v>
      </c>
      <c r="J13" s="35" t="s">
        <v>49</v>
      </c>
      <c r="K13" s="35" t="s">
        <v>58</v>
      </c>
    </row>
    <row r="14" spans="1:11" x14ac:dyDescent="0.25">
      <c r="A14" s="207">
        <v>1</v>
      </c>
      <c r="B14" s="2" t="s">
        <v>59</v>
      </c>
      <c r="C14" s="36">
        <v>2114</v>
      </c>
      <c r="D14" s="36">
        <v>4</v>
      </c>
      <c r="E14" s="36"/>
      <c r="F14" s="36">
        <v>24890.309000000001</v>
      </c>
      <c r="G14" s="36">
        <v>38.5</v>
      </c>
      <c r="H14" s="36"/>
      <c r="I14" s="36">
        <v>2300.0338983050847</v>
      </c>
      <c r="J14" s="36">
        <v>29.194915254237291</v>
      </c>
      <c r="K14" s="36"/>
    </row>
    <row r="15" spans="1:11" x14ac:dyDescent="0.25">
      <c r="A15" s="207"/>
      <c r="B15" s="2" t="s">
        <v>60</v>
      </c>
      <c r="C15" s="36"/>
      <c r="D15" s="36"/>
      <c r="E15" s="36"/>
      <c r="F15" s="36"/>
      <c r="G15" s="36"/>
      <c r="H15" s="36"/>
      <c r="I15" s="36"/>
      <c r="J15" s="36"/>
      <c r="K15" s="36"/>
    </row>
    <row r="16" spans="1:11" ht="30" x14ac:dyDescent="0.25">
      <c r="A16" s="207"/>
      <c r="B16" s="5" t="s">
        <v>61</v>
      </c>
      <c r="C16" s="36">
        <v>1993</v>
      </c>
      <c r="D16" s="36">
        <v>2</v>
      </c>
      <c r="E16" s="36"/>
      <c r="F16" s="36">
        <v>23706.723000000002</v>
      </c>
      <c r="G16" s="36">
        <v>30</v>
      </c>
      <c r="H16" s="36"/>
      <c r="I16" s="36">
        <v>929.02542372881362</v>
      </c>
      <c r="J16" s="36">
        <v>0.93220338983050854</v>
      </c>
      <c r="K16" s="36"/>
    </row>
    <row r="17" spans="1:11" ht="30" x14ac:dyDescent="0.25">
      <c r="A17" s="207">
        <v>2</v>
      </c>
      <c r="B17" s="2" t="s">
        <v>62</v>
      </c>
      <c r="C17" s="36">
        <v>185</v>
      </c>
      <c r="D17" s="36">
        <v>13</v>
      </c>
      <c r="E17" s="36"/>
      <c r="F17" s="36">
        <v>8591.16</v>
      </c>
      <c r="G17" s="36">
        <v>1341.38</v>
      </c>
      <c r="H17" s="36"/>
      <c r="I17" s="36">
        <v>3868.0847457627124</v>
      </c>
      <c r="J17" s="36">
        <v>901.53389830508479</v>
      </c>
      <c r="K17" s="36"/>
    </row>
    <row r="18" spans="1:11" x14ac:dyDescent="0.25">
      <c r="A18" s="207"/>
      <c r="B18" s="2" t="s">
        <v>60</v>
      </c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x14ac:dyDescent="0.25">
      <c r="A19" s="207"/>
      <c r="B19" s="5" t="s">
        <v>63</v>
      </c>
      <c r="C19" s="36">
        <v>3</v>
      </c>
      <c r="D19" s="36">
        <v>1</v>
      </c>
      <c r="E19" s="36"/>
      <c r="F19" s="36">
        <v>370</v>
      </c>
      <c r="G19" s="36">
        <v>100</v>
      </c>
      <c r="H19" s="36"/>
      <c r="I19" s="36">
        <v>144.12881355932205</v>
      </c>
      <c r="J19" s="36">
        <v>38.953389830508478</v>
      </c>
      <c r="K19" s="36"/>
    </row>
    <row r="20" spans="1:11" ht="30" x14ac:dyDescent="0.25">
      <c r="A20" s="207">
        <v>3</v>
      </c>
      <c r="B20" s="2" t="s">
        <v>64</v>
      </c>
      <c r="C20" s="36">
        <v>5</v>
      </c>
      <c r="D20" s="36">
        <v>32</v>
      </c>
      <c r="E20" s="36"/>
      <c r="F20" s="36">
        <v>2172</v>
      </c>
      <c r="G20" s="36">
        <v>10868.04</v>
      </c>
      <c r="H20" s="36"/>
      <c r="I20" s="36">
        <v>5108.6186440677966</v>
      </c>
      <c r="J20" s="36">
        <v>8447.533898305086</v>
      </c>
      <c r="K20" s="36"/>
    </row>
    <row r="21" spans="1:11" x14ac:dyDescent="0.25">
      <c r="A21" s="207"/>
      <c r="B21" s="2" t="s">
        <v>60</v>
      </c>
      <c r="C21" s="36"/>
      <c r="D21" s="36"/>
      <c r="E21" s="36"/>
      <c r="F21" s="36"/>
      <c r="G21" s="36"/>
      <c r="H21" s="36"/>
      <c r="I21" s="36"/>
      <c r="J21" s="36"/>
      <c r="K21" s="36"/>
    </row>
    <row r="22" spans="1:11" ht="45" x14ac:dyDescent="0.25">
      <c r="A22" s="207"/>
      <c r="B22" s="5" t="s">
        <v>65</v>
      </c>
      <c r="C22" s="36"/>
      <c r="D22" s="36"/>
      <c r="E22" s="36"/>
      <c r="F22" s="36"/>
      <c r="G22" s="36"/>
      <c r="H22" s="36"/>
      <c r="I22" s="36"/>
      <c r="J22" s="36"/>
      <c r="K22" s="36"/>
    </row>
    <row r="23" spans="1:11" ht="30" x14ac:dyDescent="0.25">
      <c r="A23" s="207">
        <v>4</v>
      </c>
      <c r="B23" s="2" t="s">
        <v>66</v>
      </c>
      <c r="C23" s="36">
        <v>2</v>
      </c>
      <c r="D23" s="36">
        <v>22</v>
      </c>
      <c r="E23" s="36"/>
      <c r="F23" s="36">
        <v>1564</v>
      </c>
      <c r="G23" s="36">
        <v>38015</v>
      </c>
      <c r="H23" s="36"/>
      <c r="I23" s="36">
        <v>19612.330508474577</v>
      </c>
      <c r="J23" s="36">
        <v>26867.355932203391</v>
      </c>
      <c r="K23" s="36"/>
    </row>
    <row r="24" spans="1:11" x14ac:dyDescent="0.25">
      <c r="A24" s="207"/>
      <c r="B24" s="2" t="s">
        <v>60</v>
      </c>
      <c r="C24" s="36"/>
      <c r="D24" s="36"/>
      <c r="E24" s="36"/>
      <c r="F24" s="36"/>
      <c r="G24" s="36"/>
      <c r="H24" s="36"/>
      <c r="I24" s="36"/>
      <c r="J24" s="36"/>
      <c r="K24" s="36"/>
    </row>
    <row r="25" spans="1:11" ht="45" x14ac:dyDescent="0.25">
      <c r="A25" s="207"/>
      <c r="B25" s="5" t="s">
        <v>65</v>
      </c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207">
        <v>5</v>
      </c>
      <c r="B26" s="2" t="s">
        <v>67</v>
      </c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207"/>
      <c r="B27" s="2" t="s">
        <v>60</v>
      </c>
      <c r="C27" s="36"/>
      <c r="D27" s="36"/>
      <c r="E27" s="36"/>
      <c r="F27" s="36"/>
      <c r="G27" s="36"/>
      <c r="H27" s="36"/>
      <c r="I27" s="36"/>
      <c r="J27" s="36"/>
      <c r="K27" s="36"/>
    </row>
    <row r="28" spans="1:11" ht="45" x14ac:dyDescent="0.25">
      <c r="A28" s="207"/>
      <c r="B28" s="5" t="s">
        <v>65</v>
      </c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1">
        <v>6</v>
      </c>
      <c r="B29" s="2" t="s">
        <v>68</v>
      </c>
      <c r="C29" s="36"/>
      <c r="D29" s="36"/>
      <c r="E29" s="36"/>
      <c r="F29" s="36"/>
      <c r="G29" s="36"/>
      <c r="H29" s="36"/>
      <c r="I29" s="36"/>
      <c r="J29" s="36"/>
      <c r="K29" s="36"/>
    </row>
    <row r="31" spans="1:11" x14ac:dyDescent="0.25">
      <c r="A31" t="s">
        <v>5</v>
      </c>
    </row>
    <row r="32" spans="1:11" ht="30.75" customHeight="1" x14ac:dyDescent="0.25">
      <c r="A32" s="206" t="s">
        <v>69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 ht="120.75" customHeight="1" x14ac:dyDescent="0.25">
      <c r="A33" s="206" t="s">
        <v>70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</sheetData>
  <customSheetViews>
    <customSheetView guid="{590CC574-4B1C-4AB8-AB4D-7FAB395FC0A2}" showPageBreaks="1" fitToPage="1" hiddenRows="1" view="pageBreakPreview">
      <selection activeCell="G2" sqref="G2"/>
      <pageMargins left="0.98425196850393704" right="0.59055118110236227" top="0.78740157480314965" bottom="0.78740157480314965" header="0" footer="0"/>
      <pageSetup paperSize="9" scale="86" fitToHeight="100" orientation="portrait" r:id="rId1"/>
    </customSheetView>
    <customSheetView guid="{1F1EC9A1-559B-45BE-A366-DE40EA2885B6}" showPageBreaks="1" fitToPage="1" hiddenRows="1" view="pageBreakPreview">
      <selection activeCell="G2" sqref="G2"/>
      <pageMargins left="0.98425196850393704" right="0.59055118110236227" top="0.78740157480314965" bottom="0.78740157480314965" header="0" footer="0"/>
      <pageSetup paperSize="9" scale="86" fitToHeight="100" orientation="portrait" r:id="rId2"/>
    </customSheetView>
  </customSheetViews>
  <mergeCells count="15">
    <mergeCell ref="A8:K8"/>
    <mergeCell ref="A9:K9"/>
    <mergeCell ref="A10:K10"/>
    <mergeCell ref="A32:K32"/>
    <mergeCell ref="A33:K33"/>
    <mergeCell ref="A14:A16"/>
    <mergeCell ref="A17:A19"/>
    <mergeCell ref="A20:A22"/>
    <mergeCell ref="A23:A25"/>
    <mergeCell ref="A26:A28"/>
    <mergeCell ref="C12:E12"/>
    <mergeCell ref="F12:H12"/>
    <mergeCell ref="I12:K12"/>
    <mergeCell ref="A12:A13"/>
    <mergeCell ref="B12:B13"/>
  </mergeCells>
  <pageMargins left="0.98425196850393704" right="0.59055118110236227" top="0.78740157480314965" bottom="0.78740157480314965" header="0" footer="0"/>
  <pageSetup paperSize="9" scale="92" fitToHeight="10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3"/>
  <sheetViews>
    <sheetView view="pageBreakPreview" zoomScaleNormal="100" zoomScaleSheetLayoutView="100" workbookViewId="0">
      <selection activeCell="C14" sqref="C14:H29"/>
    </sheetView>
  </sheetViews>
  <sheetFormatPr defaultRowHeight="15" outlineLevelRow="1" x14ac:dyDescent="0.25"/>
  <cols>
    <col min="1" max="1" width="4.140625" customWidth="1"/>
    <col min="2" max="2" width="22.7109375" customWidth="1"/>
    <col min="5" max="5" width="12" customWidth="1"/>
    <col min="8" max="8" width="12" customWidth="1"/>
  </cols>
  <sheetData>
    <row r="1" spans="1:8" x14ac:dyDescent="0.25">
      <c r="E1" t="s">
        <v>95</v>
      </c>
    </row>
    <row r="2" spans="1:8" x14ac:dyDescent="0.25">
      <c r="E2" t="s">
        <v>1</v>
      </c>
    </row>
    <row r="3" spans="1:8" x14ac:dyDescent="0.25">
      <c r="E3" t="s">
        <v>2</v>
      </c>
    </row>
    <row r="4" spans="1:8" x14ac:dyDescent="0.25">
      <c r="E4" t="s">
        <v>3</v>
      </c>
    </row>
    <row r="6" spans="1:8" hidden="1" outlineLevel="1" x14ac:dyDescent="0.25">
      <c r="E6" t="s">
        <v>4</v>
      </c>
    </row>
    <row r="7" spans="1:8" collapsed="1" x14ac:dyDescent="0.25"/>
    <row r="8" spans="1:8" x14ac:dyDescent="0.25">
      <c r="A8" s="203" t="s">
        <v>52</v>
      </c>
      <c r="B8" s="203"/>
      <c r="C8" s="203"/>
      <c r="D8" s="203"/>
      <c r="E8" s="203"/>
      <c r="F8" s="203"/>
      <c r="G8" s="203"/>
      <c r="H8" s="203"/>
    </row>
    <row r="9" spans="1:8" x14ac:dyDescent="0.25">
      <c r="A9" s="203" t="s">
        <v>71</v>
      </c>
      <c r="B9" s="203"/>
      <c r="C9" s="203"/>
      <c r="D9" s="203"/>
      <c r="E9" s="203"/>
      <c r="F9" s="203"/>
      <c r="G9" s="203"/>
      <c r="H9" s="203"/>
    </row>
    <row r="10" spans="1:8" x14ac:dyDescent="0.25">
      <c r="A10" s="203" t="s">
        <v>109</v>
      </c>
      <c r="B10" s="203"/>
      <c r="C10" s="203"/>
      <c r="D10" s="203"/>
      <c r="E10" s="203"/>
      <c r="F10" s="203"/>
      <c r="G10" s="203"/>
      <c r="H10" s="203"/>
    </row>
    <row r="12" spans="1:8" ht="15" customHeight="1" x14ac:dyDescent="0.25">
      <c r="A12" s="209" t="s">
        <v>8</v>
      </c>
      <c r="B12" s="210" t="s">
        <v>54</v>
      </c>
      <c r="C12" s="213" t="s">
        <v>72</v>
      </c>
      <c r="D12" s="213"/>
      <c r="E12" s="213"/>
      <c r="F12" s="213" t="s">
        <v>56</v>
      </c>
      <c r="G12" s="213"/>
      <c r="H12" s="213"/>
    </row>
    <row r="13" spans="1:8" x14ac:dyDescent="0.25">
      <c r="A13" s="210"/>
      <c r="B13" s="210"/>
      <c r="C13" s="37" t="s">
        <v>48</v>
      </c>
      <c r="D13" s="37" t="s">
        <v>49</v>
      </c>
      <c r="E13" s="37" t="s">
        <v>58</v>
      </c>
      <c r="F13" s="37" t="s">
        <v>48</v>
      </c>
      <c r="G13" s="37" t="s">
        <v>49</v>
      </c>
      <c r="H13" s="37" t="s">
        <v>58</v>
      </c>
    </row>
    <row r="14" spans="1:8" x14ac:dyDescent="0.25">
      <c r="A14" s="214">
        <v>1</v>
      </c>
      <c r="B14" s="2" t="s">
        <v>59</v>
      </c>
      <c r="C14" s="22">
        <v>2830</v>
      </c>
      <c r="D14" s="22">
        <v>7</v>
      </c>
      <c r="E14" s="22"/>
      <c r="F14" s="22">
        <v>33290.889000000003</v>
      </c>
      <c r="G14" s="22">
        <v>93.5</v>
      </c>
      <c r="H14" s="22"/>
    </row>
    <row r="15" spans="1:8" x14ac:dyDescent="0.25">
      <c r="A15" s="215"/>
      <c r="B15" s="2" t="s">
        <v>60</v>
      </c>
      <c r="C15" s="22"/>
      <c r="D15" s="22"/>
      <c r="E15" s="22"/>
      <c r="F15" s="22"/>
      <c r="G15" s="22"/>
      <c r="H15" s="22"/>
    </row>
    <row r="16" spans="1:8" ht="30" x14ac:dyDescent="0.25">
      <c r="A16" s="216"/>
      <c r="B16" s="6" t="s">
        <v>61</v>
      </c>
      <c r="C16" s="22">
        <v>2214</v>
      </c>
      <c r="D16" s="22">
        <v>2</v>
      </c>
      <c r="E16" s="22"/>
      <c r="F16" s="22">
        <v>26218.52</v>
      </c>
      <c r="G16" s="22">
        <v>30</v>
      </c>
      <c r="H16" s="22"/>
    </row>
    <row r="17" spans="1:8" x14ac:dyDescent="0.25">
      <c r="A17" s="214">
        <v>2</v>
      </c>
      <c r="B17" s="2" t="s">
        <v>62</v>
      </c>
      <c r="C17" s="22">
        <v>266</v>
      </c>
      <c r="D17" s="22">
        <v>22</v>
      </c>
      <c r="E17" s="22"/>
      <c r="F17" s="22">
        <v>13452.384</v>
      </c>
      <c r="G17" s="22">
        <v>2018</v>
      </c>
      <c r="H17" s="22"/>
    </row>
    <row r="18" spans="1:8" x14ac:dyDescent="0.25">
      <c r="A18" s="215"/>
      <c r="B18" s="2" t="s">
        <v>60</v>
      </c>
      <c r="C18" s="22"/>
      <c r="D18" s="22"/>
      <c r="E18" s="22"/>
      <c r="F18" s="22"/>
      <c r="G18" s="22"/>
      <c r="H18" s="22"/>
    </row>
    <row r="19" spans="1:8" ht="30" x14ac:dyDescent="0.25">
      <c r="A19" s="216"/>
      <c r="B19" s="6" t="s">
        <v>63</v>
      </c>
      <c r="C19" s="22">
        <v>9</v>
      </c>
      <c r="D19" s="22">
        <v>2</v>
      </c>
      <c r="E19" s="22"/>
      <c r="F19" s="22">
        <v>343</v>
      </c>
      <c r="G19" s="22">
        <v>137</v>
      </c>
      <c r="H19" s="22"/>
    </row>
    <row r="20" spans="1:8" ht="30" x14ac:dyDescent="0.25">
      <c r="A20" s="214">
        <v>3</v>
      </c>
      <c r="B20" s="2" t="s">
        <v>64</v>
      </c>
      <c r="C20" s="22">
        <v>15</v>
      </c>
      <c r="D20" s="22">
        <v>50</v>
      </c>
      <c r="E20" s="22"/>
      <c r="F20" s="22">
        <v>5370.5</v>
      </c>
      <c r="G20" s="22">
        <v>17804.66</v>
      </c>
      <c r="H20" s="22"/>
    </row>
    <row r="21" spans="1:8" x14ac:dyDescent="0.25">
      <c r="A21" s="215"/>
      <c r="B21" s="2" t="s">
        <v>60</v>
      </c>
      <c r="C21" s="22"/>
      <c r="D21" s="22"/>
      <c r="E21" s="22"/>
      <c r="F21" s="22"/>
      <c r="G21" s="22"/>
      <c r="H21" s="22"/>
    </row>
    <row r="22" spans="1:8" ht="30" x14ac:dyDescent="0.25">
      <c r="A22" s="216"/>
      <c r="B22" s="6" t="s">
        <v>65</v>
      </c>
      <c r="C22" s="22"/>
      <c r="D22" s="22"/>
      <c r="E22" s="22"/>
      <c r="F22" s="22"/>
      <c r="G22" s="22"/>
      <c r="H22" s="22"/>
    </row>
    <row r="23" spans="1:8" ht="30" x14ac:dyDescent="0.25">
      <c r="A23" s="214">
        <v>4</v>
      </c>
      <c r="B23" s="2" t="s">
        <v>66</v>
      </c>
      <c r="C23" s="22">
        <v>9</v>
      </c>
      <c r="D23" s="22">
        <v>52</v>
      </c>
      <c r="E23" s="22">
        <v>3</v>
      </c>
      <c r="F23" s="22">
        <v>12402.4</v>
      </c>
      <c r="G23" s="22">
        <v>108877.4</v>
      </c>
      <c r="H23" s="22">
        <v>61000</v>
      </c>
    </row>
    <row r="24" spans="1:8" x14ac:dyDescent="0.25">
      <c r="A24" s="215"/>
      <c r="B24" s="2" t="s">
        <v>60</v>
      </c>
      <c r="C24" s="22"/>
      <c r="D24" s="22"/>
      <c r="E24" s="22"/>
      <c r="F24" s="22"/>
      <c r="G24" s="22"/>
      <c r="H24" s="22"/>
    </row>
    <row r="25" spans="1:8" ht="30" x14ac:dyDescent="0.25">
      <c r="A25" s="216"/>
      <c r="B25" s="6" t="s">
        <v>65</v>
      </c>
      <c r="C25" s="22"/>
      <c r="D25" s="22"/>
      <c r="E25" s="22"/>
      <c r="F25" s="22"/>
      <c r="G25" s="22"/>
      <c r="H25" s="22"/>
    </row>
    <row r="26" spans="1:8" x14ac:dyDescent="0.25">
      <c r="A26" s="214">
        <v>5</v>
      </c>
      <c r="B26" s="2" t="s">
        <v>67</v>
      </c>
      <c r="C26" s="22"/>
      <c r="D26" s="22"/>
      <c r="E26" s="22"/>
      <c r="F26" s="22"/>
      <c r="G26" s="22"/>
      <c r="H26" s="22"/>
    </row>
    <row r="27" spans="1:8" x14ac:dyDescent="0.25">
      <c r="A27" s="215"/>
      <c r="B27" s="2" t="s">
        <v>60</v>
      </c>
      <c r="C27" s="22"/>
      <c r="D27" s="22"/>
      <c r="E27" s="22"/>
      <c r="F27" s="22"/>
      <c r="G27" s="22"/>
      <c r="H27" s="22"/>
    </row>
    <row r="28" spans="1:8" ht="30" x14ac:dyDescent="0.25">
      <c r="A28" s="216"/>
      <c r="B28" s="6" t="s">
        <v>65</v>
      </c>
      <c r="C28" s="22"/>
      <c r="D28" s="22"/>
      <c r="E28" s="22"/>
      <c r="F28" s="22"/>
      <c r="G28" s="22"/>
      <c r="H28" s="22"/>
    </row>
    <row r="29" spans="1:8" x14ac:dyDescent="0.25">
      <c r="A29" s="1">
        <v>6</v>
      </c>
      <c r="B29" s="2" t="s">
        <v>68</v>
      </c>
      <c r="C29" s="22"/>
      <c r="D29" s="22"/>
      <c r="E29" s="22"/>
      <c r="F29" s="22"/>
      <c r="G29" s="22"/>
      <c r="H29" s="22"/>
    </row>
    <row r="31" spans="1:8" x14ac:dyDescent="0.25">
      <c r="A31" t="s">
        <v>5</v>
      </c>
    </row>
    <row r="32" spans="1:8" ht="27.75" customHeight="1" x14ac:dyDescent="0.25">
      <c r="A32" s="206" t="s">
        <v>69</v>
      </c>
      <c r="B32" s="206"/>
      <c r="C32" s="206"/>
      <c r="D32" s="206"/>
      <c r="E32" s="206"/>
      <c r="F32" s="206"/>
      <c r="G32" s="206"/>
      <c r="H32" s="206"/>
    </row>
    <row r="33" spans="1:8" ht="135.75" customHeight="1" x14ac:dyDescent="0.25">
      <c r="A33" s="206" t="s">
        <v>73</v>
      </c>
      <c r="B33" s="206"/>
      <c r="C33" s="206"/>
      <c r="D33" s="206"/>
      <c r="E33" s="206"/>
      <c r="F33" s="206"/>
      <c r="G33" s="206"/>
      <c r="H33" s="206"/>
    </row>
  </sheetData>
  <customSheetViews>
    <customSheetView guid="{590CC574-4B1C-4AB8-AB4D-7FAB395FC0A2}" showPageBreaks="1" fitToPage="1" hiddenRows="1" view="pageBreakPreview">
      <selection activeCell="G23" sqref="G23"/>
      <pageMargins left="0.98425196850393704" right="0.59055118110236227" top="0.78740157480314965" bottom="0.78740157480314965" header="0" footer="0"/>
      <pageSetup paperSize="9" scale="97" fitToHeight="100" orientation="portrait" r:id="rId1"/>
    </customSheetView>
    <customSheetView guid="{1F1EC9A1-559B-45BE-A366-DE40EA2885B6}" showPageBreaks="1" fitToPage="1" hiddenRows="1" view="pageBreakPreview">
      <selection activeCell="E2" sqref="E2"/>
      <pageMargins left="0.98425196850393704" right="0.59055118110236227" top="0.78740157480314965" bottom="0.78740157480314965" header="0" footer="0"/>
      <pageSetup paperSize="9" scale="97" fitToHeight="100" orientation="portrait" r:id="rId2"/>
    </customSheetView>
  </customSheetViews>
  <mergeCells count="14">
    <mergeCell ref="A32:H32"/>
    <mergeCell ref="A33:H33"/>
    <mergeCell ref="A14:A16"/>
    <mergeCell ref="A17:A19"/>
    <mergeCell ref="A20:A22"/>
    <mergeCell ref="A23:A25"/>
    <mergeCell ref="A26:A28"/>
    <mergeCell ref="A8:H8"/>
    <mergeCell ref="A9:H9"/>
    <mergeCell ref="A10:H10"/>
    <mergeCell ref="A12:A13"/>
    <mergeCell ref="B12:B13"/>
    <mergeCell ref="C12:E12"/>
    <mergeCell ref="F12:H12"/>
  </mergeCells>
  <pageMargins left="0.98425196850393704" right="0.59055118110236227" top="0.78740157480314965" bottom="0.78740157480314965" header="0" footer="0"/>
  <pageSetup paperSize="9" scale="97" fitToHeight="100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view="pageBreakPreview" zoomScale="60" zoomScaleNormal="100" workbookViewId="0">
      <selection activeCell="G33" sqref="G33"/>
    </sheetView>
  </sheetViews>
  <sheetFormatPr defaultRowHeight="15" outlineLevelCol="1" x14ac:dyDescent="0.25"/>
  <cols>
    <col min="1" max="1" width="6.7109375" customWidth="1"/>
    <col min="2" max="2" width="33.42578125" customWidth="1"/>
    <col min="3" max="14" width="14.42578125" customWidth="1"/>
    <col min="15" max="18" width="14.42578125" hidden="1" customWidth="1" outlineLevel="1"/>
    <col min="19" max="19" width="9.140625" collapsed="1"/>
    <col min="20" max="20" width="31.5703125" customWidth="1"/>
  </cols>
  <sheetData>
    <row r="1" spans="1:20" x14ac:dyDescent="0.25">
      <c r="M1" s="217" t="s">
        <v>110</v>
      </c>
      <c r="N1" s="217"/>
    </row>
    <row r="2" spans="1:20" x14ac:dyDescent="0.25">
      <c r="M2" t="s">
        <v>111</v>
      </c>
    </row>
    <row r="3" spans="1:20" x14ac:dyDescent="0.25">
      <c r="M3" t="s">
        <v>112</v>
      </c>
    </row>
    <row r="4" spans="1:20" x14ac:dyDescent="0.25">
      <c r="M4" t="s">
        <v>113</v>
      </c>
    </row>
    <row r="5" spans="1:20" x14ac:dyDescent="0.25">
      <c r="A5" s="45"/>
      <c r="B5" s="45"/>
      <c r="C5" s="45"/>
      <c r="D5" s="45"/>
      <c r="E5" s="45"/>
      <c r="F5" s="45"/>
      <c r="G5" s="45"/>
      <c r="H5" s="46"/>
      <c r="I5" s="45"/>
      <c r="J5" s="45"/>
      <c r="K5" s="45"/>
      <c r="L5" s="45"/>
      <c r="M5" t="s">
        <v>114</v>
      </c>
      <c r="O5" s="45"/>
      <c r="P5" s="47"/>
    </row>
    <row r="6" spans="1:20" x14ac:dyDescent="0.25">
      <c r="A6" s="45"/>
      <c r="B6" s="45"/>
      <c r="C6" s="45"/>
      <c r="D6" s="45"/>
      <c r="E6" s="45"/>
      <c r="F6" s="45"/>
      <c r="G6" s="45"/>
      <c r="H6" s="46"/>
      <c r="I6" s="45"/>
      <c r="J6" s="45"/>
      <c r="K6" s="45"/>
      <c r="L6" s="45"/>
      <c r="M6" s="45" t="s">
        <v>115</v>
      </c>
      <c r="N6" s="45"/>
      <c r="O6" s="45"/>
      <c r="P6" s="45"/>
    </row>
    <row r="7" spans="1:20" ht="15.75" thickBot="1" x14ac:dyDescent="0.3">
      <c r="A7" s="45"/>
      <c r="B7" s="45"/>
      <c r="C7" s="45"/>
      <c r="D7" s="45"/>
      <c r="E7" s="45"/>
      <c r="F7" s="45"/>
      <c r="G7" s="45"/>
      <c r="H7" s="46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20" ht="36.75" customHeight="1" x14ac:dyDescent="0.25">
      <c r="A8" s="218" t="s">
        <v>116</v>
      </c>
      <c r="B8" s="221" t="s">
        <v>6</v>
      </c>
      <c r="C8" s="224" t="s">
        <v>117</v>
      </c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6"/>
      <c r="T8" s="48" t="s">
        <v>118</v>
      </c>
    </row>
    <row r="9" spans="1:20" x14ac:dyDescent="0.25">
      <c r="A9" s="219"/>
      <c r="B9" s="222"/>
      <c r="C9" s="227">
        <v>2017</v>
      </c>
      <c r="D9" s="228"/>
      <c r="E9" s="228"/>
      <c r="F9" s="229"/>
      <c r="G9" s="230">
        <v>2016</v>
      </c>
      <c r="H9" s="230"/>
      <c r="I9" s="230"/>
      <c r="J9" s="230"/>
      <c r="K9" s="230">
        <v>2015</v>
      </c>
      <c r="L9" s="230"/>
      <c r="M9" s="230"/>
      <c r="N9" s="230"/>
      <c r="O9" s="230">
        <v>2014</v>
      </c>
      <c r="P9" s="230"/>
      <c r="Q9" s="230"/>
      <c r="R9" s="231"/>
      <c r="T9" s="49">
        <v>2019</v>
      </c>
    </row>
    <row r="10" spans="1:20" ht="75.75" thickBot="1" x14ac:dyDescent="0.3">
      <c r="A10" s="220"/>
      <c r="B10" s="223"/>
      <c r="C10" s="50" t="s">
        <v>119</v>
      </c>
      <c r="D10" s="50" t="s">
        <v>120</v>
      </c>
      <c r="E10" s="50" t="s">
        <v>7</v>
      </c>
      <c r="F10" s="50" t="s">
        <v>121</v>
      </c>
      <c r="G10" s="50" t="s">
        <v>119</v>
      </c>
      <c r="H10" s="50" t="s">
        <v>120</v>
      </c>
      <c r="I10" s="50" t="s">
        <v>7</v>
      </c>
      <c r="J10" s="50" t="s">
        <v>121</v>
      </c>
      <c r="K10" s="50" t="s">
        <v>119</v>
      </c>
      <c r="L10" s="50" t="s">
        <v>120</v>
      </c>
      <c r="M10" s="50" t="s">
        <v>7</v>
      </c>
      <c r="N10" s="50" t="s">
        <v>121</v>
      </c>
      <c r="O10" s="50" t="s">
        <v>119</v>
      </c>
      <c r="P10" s="50" t="s">
        <v>120</v>
      </c>
      <c r="Q10" s="50" t="s">
        <v>7</v>
      </c>
      <c r="R10" s="51" t="s">
        <v>121</v>
      </c>
      <c r="T10" s="52">
        <f>T11+T12</f>
        <v>17840.758051488636</v>
      </c>
    </row>
    <row r="11" spans="1:20" ht="48.75" customHeight="1" x14ac:dyDescent="0.25">
      <c r="A11" s="53" t="s">
        <v>122</v>
      </c>
      <c r="B11" s="54" t="s">
        <v>123</v>
      </c>
      <c r="C11" s="55">
        <v>20847160.634956554</v>
      </c>
      <c r="D11" s="56">
        <v>4300</v>
      </c>
      <c r="E11" s="56">
        <v>112430.38</v>
      </c>
      <c r="F11" s="55">
        <v>4848.1768918503612</v>
      </c>
      <c r="G11" s="55">
        <v>19302289.596145324</v>
      </c>
      <c r="H11" s="56">
        <v>2910</v>
      </c>
      <c r="I11" s="56">
        <v>95922.86</v>
      </c>
      <c r="J11" s="55">
        <v>6633.0892082973623</v>
      </c>
      <c r="K11" s="55">
        <v>18950284.883270569</v>
      </c>
      <c r="L11" s="56">
        <v>2055</v>
      </c>
      <c r="M11" s="56">
        <v>65162.85</v>
      </c>
      <c r="N11" s="55">
        <v>9221.5498215428561</v>
      </c>
      <c r="O11" s="55">
        <f>'[1]С1 (Прил3)'!J13*1000</f>
        <v>18403401.088081893</v>
      </c>
      <c r="P11" s="56">
        <v>1406</v>
      </c>
      <c r="Q11" s="56">
        <v>76449.11</v>
      </c>
      <c r="R11" s="57">
        <f>O11/P11</f>
        <v>13089.189963073892</v>
      </c>
      <c r="T11" s="58">
        <f>(N11*([1]ИПЦ!$C$10/100)*([1]ИПЦ!$D$10/100)+'[1]С1 (Прил2)'!J11*([1]ИПЦ!$D$10/100)+'[1]С1 (Прил2)'!F11)/3*([1]ИПЦ!$E$10/100)*([1]ИПЦ!$F$10/100)</f>
        <v>7909.1005088659613</v>
      </c>
    </row>
    <row r="12" spans="1:20" ht="48.75" customHeight="1" thickBot="1" x14ac:dyDescent="0.3">
      <c r="A12" s="50" t="s">
        <v>124</v>
      </c>
      <c r="B12" s="59" t="s">
        <v>125</v>
      </c>
      <c r="C12" s="60">
        <v>26310698.844280027</v>
      </c>
      <c r="D12" s="61">
        <v>4300</v>
      </c>
      <c r="E12" s="61">
        <v>112430.38</v>
      </c>
      <c r="F12" s="60">
        <v>6118.7671730883785</v>
      </c>
      <c r="G12" s="60">
        <v>24408519.163880985</v>
      </c>
      <c r="H12" s="61">
        <v>2910</v>
      </c>
      <c r="I12" s="61">
        <v>95922.86</v>
      </c>
      <c r="J12" s="60">
        <v>8387.8072728113348</v>
      </c>
      <c r="K12" s="60">
        <v>23627215.361827966</v>
      </c>
      <c r="L12" s="61">
        <v>2055</v>
      </c>
      <c r="M12" s="61">
        <v>65162.85</v>
      </c>
      <c r="N12" s="60">
        <v>11497.428399916285</v>
      </c>
      <c r="O12" s="60">
        <f>'[1]С1 (Прил3)'!N13*1000</f>
        <v>11364142.334546814</v>
      </c>
      <c r="P12" s="61">
        <v>1406</v>
      </c>
      <c r="Q12" s="61">
        <v>76449.11</v>
      </c>
      <c r="R12" s="62">
        <f t="shared" ref="R12" si="0">O12/P12</f>
        <v>8082.6047898625984</v>
      </c>
      <c r="T12" s="58">
        <f>(N12*([1]ИПЦ!$C$10/100)*([1]ИПЦ!$D$10/100)+'[1]С1 (Прил2)'!J12*([1]ИПЦ!$D$10/100)+'[1]С1 (Прил2)'!F12)/3*([1]ИПЦ!$E$10/100)*([1]ИПЦ!$F$10/100)</f>
        <v>9931.6575426226736</v>
      </c>
    </row>
    <row r="17" s="63" customFormat="1" ht="18.75" x14ac:dyDescent="0.3"/>
    <row r="42" spans="1:1" x14ac:dyDescent="0.25">
      <c r="A42" s="64"/>
    </row>
    <row r="43" spans="1:1" x14ac:dyDescent="0.25">
      <c r="A43" s="64"/>
    </row>
    <row r="44" spans="1:1" x14ac:dyDescent="0.25">
      <c r="A44" s="65"/>
    </row>
  </sheetData>
  <mergeCells count="8">
    <mergeCell ref="M1:N1"/>
    <mergeCell ref="A8:A10"/>
    <mergeCell ref="B8:B10"/>
    <mergeCell ref="C8:R8"/>
    <mergeCell ref="C9:F9"/>
    <mergeCell ref="G9:J9"/>
    <mergeCell ref="K9:N9"/>
    <mergeCell ref="O9:R9"/>
  </mergeCells>
  <pageMargins left="0.70866141732283472" right="0.70866141732283472" top="0.74803149606299213" bottom="0.74803149606299213" header="0.31496062992125984" footer="0.31496062992125984"/>
  <pageSetup paperSize="9" scale="61" fitToHeight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view="pageBreakPreview" zoomScale="60" zoomScaleNormal="100" workbookViewId="0">
      <selection activeCell="A36" sqref="A36:XFD78"/>
    </sheetView>
  </sheetViews>
  <sheetFormatPr defaultRowHeight="15" outlineLevelCol="1" x14ac:dyDescent="0.25"/>
  <cols>
    <col min="1" max="1" width="8" customWidth="1"/>
    <col min="2" max="2" width="33.42578125" customWidth="1"/>
    <col min="3" max="3" width="14.5703125" customWidth="1"/>
    <col min="4" max="5" width="14.42578125" customWidth="1"/>
    <col min="6" max="6" width="14.42578125" hidden="1" customWidth="1" outlineLevel="1"/>
    <col min="7" max="7" width="14.42578125" customWidth="1" collapsed="1"/>
    <col min="8" max="9" width="14.42578125" customWidth="1"/>
    <col min="10" max="10" width="14.42578125" hidden="1" customWidth="1" outlineLevel="1"/>
    <col min="11" max="11" width="14.42578125" customWidth="1" collapsed="1"/>
    <col min="12" max="13" width="14.42578125" customWidth="1"/>
    <col min="14" max="14" width="14.42578125" hidden="1" customWidth="1" outlineLevel="1"/>
    <col min="15" max="15" width="9.140625" collapsed="1"/>
  </cols>
  <sheetData>
    <row r="1" spans="1:14" x14ac:dyDescent="0.25">
      <c r="L1" s="66" t="s">
        <v>126</v>
      </c>
      <c r="N1" s="66"/>
    </row>
    <row r="2" spans="1:14" x14ac:dyDescent="0.25">
      <c r="L2" t="s">
        <v>111</v>
      </c>
    </row>
    <row r="3" spans="1:14" x14ac:dyDescent="0.25">
      <c r="L3" t="s">
        <v>112</v>
      </c>
    </row>
    <row r="4" spans="1:14" x14ac:dyDescent="0.25">
      <c r="L4" t="s">
        <v>113</v>
      </c>
    </row>
    <row r="5" spans="1:14" x14ac:dyDescent="0.25">
      <c r="L5" t="s">
        <v>114</v>
      </c>
    </row>
    <row r="6" spans="1:14" x14ac:dyDescent="0.25">
      <c r="L6" s="45" t="s">
        <v>115</v>
      </c>
      <c r="N6" s="45"/>
    </row>
    <row r="8" spans="1:14" x14ac:dyDescent="0.25">
      <c r="A8" s="232" t="s">
        <v>127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</row>
    <row r="9" spans="1:14" ht="15.75" thickBot="1" x14ac:dyDescent="0.3">
      <c r="A9" s="45"/>
      <c r="B9" s="45"/>
      <c r="C9" s="45"/>
      <c r="D9" s="45"/>
      <c r="E9" s="45"/>
      <c r="F9" s="45"/>
      <c r="G9" s="45"/>
      <c r="H9" s="67"/>
      <c r="I9" s="45"/>
      <c r="J9" s="45"/>
      <c r="K9" s="45"/>
      <c r="L9" s="68"/>
      <c r="M9" s="67"/>
      <c r="N9" s="69" t="s">
        <v>128</v>
      </c>
    </row>
    <row r="10" spans="1:14" ht="15" customHeight="1" thickBot="1" x14ac:dyDescent="0.3">
      <c r="A10" s="233" t="s">
        <v>116</v>
      </c>
      <c r="B10" s="236" t="s">
        <v>11</v>
      </c>
      <c r="C10" s="239" t="s">
        <v>129</v>
      </c>
      <c r="D10" s="240"/>
      <c r="E10" s="240"/>
      <c r="F10" s="240"/>
      <c r="G10" s="239" t="s">
        <v>13</v>
      </c>
      <c r="H10" s="240"/>
      <c r="I10" s="240"/>
      <c r="J10" s="240"/>
      <c r="K10" s="240"/>
      <c r="L10" s="240"/>
      <c r="M10" s="240"/>
      <c r="N10" s="243"/>
    </row>
    <row r="11" spans="1:14" ht="39" customHeight="1" x14ac:dyDescent="0.25">
      <c r="A11" s="234"/>
      <c r="B11" s="237"/>
      <c r="C11" s="241"/>
      <c r="D11" s="242"/>
      <c r="E11" s="242"/>
      <c r="F11" s="242"/>
      <c r="G11" s="244" t="s">
        <v>123</v>
      </c>
      <c r="H11" s="245"/>
      <c r="I11" s="245"/>
      <c r="J11" s="246"/>
      <c r="K11" s="244" t="s">
        <v>125</v>
      </c>
      <c r="L11" s="245"/>
      <c r="M11" s="245"/>
      <c r="N11" s="246"/>
    </row>
    <row r="12" spans="1:14" x14ac:dyDescent="0.25">
      <c r="A12" s="235"/>
      <c r="B12" s="238"/>
      <c r="C12" s="70">
        <v>2017</v>
      </c>
      <c r="D12" s="71">
        <v>2016</v>
      </c>
      <c r="E12" s="72">
        <f>D12-1</f>
        <v>2015</v>
      </c>
      <c r="F12" s="73">
        <f>E12-1</f>
        <v>2014</v>
      </c>
      <c r="G12" s="70">
        <v>2017</v>
      </c>
      <c r="H12" s="71">
        <v>2016</v>
      </c>
      <c r="I12" s="72">
        <f>H12-1</f>
        <v>2015</v>
      </c>
      <c r="J12" s="74">
        <f>I12-1</f>
        <v>2014</v>
      </c>
      <c r="K12" s="70">
        <v>2017</v>
      </c>
      <c r="L12" s="71">
        <f>H12</f>
        <v>2016</v>
      </c>
      <c r="M12" s="72">
        <f>I12</f>
        <v>2015</v>
      </c>
      <c r="N12" s="74">
        <f>J12</f>
        <v>2014</v>
      </c>
    </row>
    <row r="13" spans="1:14" ht="45" x14ac:dyDescent="0.25">
      <c r="A13" s="75" t="s">
        <v>122</v>
      </c>
      <c r="B13" s="76" t="s">
        <v>130</v>
      </c>
      <c r="C13" s="77">
        <v>47157.859479236591</v>
      </c>
      <c r="D13" s="78">
        <v>43710.80876002631</v>
      </c>
      <c r="E13" s="79">
        <v>42577.500245098534</v>
      </c>
      <c r="F13" s="80">
        <v>29767.543422628707</v>
      </c>
      <c r="G13" s="77">
        <v>20847.160634956555</v>
      </c>
      <c r="H13" s="78">
        <v>19302.289596145325</v>
      </c>
      <c r="I13" s="79">
        <v>18950.284883270568</v>
      </c>
      <c r="J13" s="81">
        <v>18403.401088081893</v>
      </c>
      <c r="K13" s="77">
        <v>26310.698844280028</v>
      </c>
      <c r="L13" s="78">
        <v>24408.519163880985</v>
      </c>
      <c r="M13" s="79">
        <v>23627.215361827966</v>
      </c>
      <c r="N13" s="81">
        <f t="shared" ref="N13" si="0">N14+N15+N16+N17+N18+N27</f>
        <v>11364.142334546814</v>
      </c>
    </row>
    <row r="14" spans="1:14" x14ac:dyDescent="0.25">
      <c r="A14" s="75" t="s">
        <v>131</v>
      </c>
      <c r="B14" s="76" t="s">
        <v>132</v>
      </c>
      <c r="C14" s="82">
        <v>599.53</v>
      </c>
      <c r="D14" s="83">
        <v>173.07860000000002</v>
      </c>
      <c r="E14" s="84">
        <v>253.83328</v>
      </c>
      <c r="F14" s="85">
        <v>176.23</v>
      </c>
      <c r="G14" s="82">
        <v>265.03531656220616</v>
      </c>
      <c r="H14" s="83">
        <v>76.429911842550581</v>
      </c>
      <c r="I14" s="84">
        <v>112.97546688191802</v>
      </c>
      <c r="J14" s="86">
        <v>108.95193223392531</v>
      </c>
      <c r="K14" s="82">
        <v>334.49468343779381</v>
      </c>
      <c r="L14" s="83">
        <v>96.648688157449442</v>
      </c>
      <c r="M14" s="84">
        <v>140.85781311808199</v>
      </c>
      <c r="N14" s="86">
        <f>F14-J14</f>
        <v>67.278067766074685</v>
      </c>
    </row>
    <row r="15" spans="1:14" x14ac:dyDescent="0.25">
      <c r="A15" s="75" t="s">
        <v>133</v>
      </c>
      <c r="B15" s="76" t="s">
        <v>134</v>
      </c>
      <c r="C15" s="82">
        <v>251.48</v>
      </c>
      <c r="D15" s="83">
        <v>204.0044</v>
      </c>
      <c r="E15" s="84">
        <v>208.69457</v>
      </c>
      <c r="F15" s="85">
        <v>109.82</v>
      </c>
      <c r="G15" s="82">
        <v>111.17222058789987</v>
      </c>
      <c r="H15" s="83">
        <v>90.086459605592054</v>
      </c>
      <c r="I15" s="84">
        <v>92.885245313266736</v>
      </c>
      <c r="J15" s="86">
        <v>67.8948033701962</v>
      </c>
      <c r="K15" s="82">
        <v>140.3077794121001</v>
      </c>
      <c r="L15" s="83">
        <v>113.91794039440795</v>
      </c>
      <c r="M15" s="84">
        <v>115.80932468673326</v>
      </c>
      <c r="N15" s="86">
        <f t="shared" ref="N15:N17" si="1">F15-J15</f>
        <v>41.925196629803793</v>
      </c>
    </row>
    <row r="16" spans="1:14" x14ac:dyDescent="0.25">
      <c r="A16" s="75" t="s">
        <v>135</v>
      </c>
      <c r="B16" s="76" t="s">
        <v>136</v>
      </c>
      <c r="C16" s="82">
        <v>30290.14</v>
      </c>
      <c r="D16" s="83">
        <v>22649.769929999999</v>
      </c>
      <c r="E16" s="84">
        <v>24020.14431</v>
      </c>
      <c r="F16" s="85">
        <v>16599.649999999998</v>
      </c>
      <c r="G16" s="82">
        <v>13390.417232854976</v>
      </c>
      <c r="H16" s="83">
        <v>10001.929291107928</v>
      </c>
      <c r="I16" s="84">
        <v>10690.824378873001</v>
      </c>
      <c r="J16" s="86">
        <v>10262.520240066266</v>
      </c>
      <c r="K16" s="82">
        <v>16899.722767145024</v>
      </c>
      <c r="L16" s="83">
        <v>12647.84063889207</v>
      </c>
      <c r="M16" s="84">
        <v>13329.319931126998</v>
      </c>
      <c r="N16" s="86">
        <f t="shared" si="1"/>
        <v>6337.1297599337322</v>
      </c>
    </row>
    <row r="17" spans="1:14" x14ac:dyDescent="0.25">
      <c r="A17" s="75" t="s">
        <v>137</v>
      </c>
      <c r="B17" s="76" t="s">
        <v>138</v>
      </c>
      <c r="C17" s="82">
        <v>8485.32</v>
      </c>
      <c r="D17" s="83">
        <v>6425.9237000000003</v>
      </c>
      <c r="E17" s="84">
        <v>6693.0410199999988</v>
      </c>
      <c r="F17" s="85">
        <v>4442.51</v>
      </c>
      <c r="G17" s="82">
        <v>3751.1208318709978</v>
      </c>
      <c r="H17" s="83">
        <v>2837.6285797201758</v>
      </c>
      <c r="I17" s="84">
        <v>2978.9215744063536</v>
      </c>
      <c r="J17" s="86">
        <v>2746.5247033339133</v>
      </c>
      <c r="K17" s="82">
        <v>4734.1991681290019</v>
      </c>
      <c r="L17" s="83">
        <v>3588.2951202798245</v>
      </c>
      <c r="M17" s="84">
        <v>3714.1194455936452</v>
      </c>
      <c r="N17" s="86">
        <f t="shared" si="1"/>
        <v>1695.9852966660869</v>
      </c>
    </row>
    <row r="18" spans="1:14" ht="30" x14ac:dyDescent="0.25">
      <c r="A18" s="75" t="s">
        <v>139</v>
      </c>
      <c r="B18" s="76" t="s">
        <v>140</v>
      </c>
      <c r="C18" s="77">
        <v>6589.8918254642003</v>
      </c>
      <c r="D18" s="78">
        <v>7925.6714846409086</v>
      </c>
      <c r="E18" s="79">
        <v>8327.7633399999977</v>
      </c>
      <c r="F18" s="80">
        <v>7024.7684293479115</v>
      </c>
      <c r="G18" s="77">
        <v>2913.2054543936065</v>
      </c>
      <c r="H18" s="78">
        <v>3499.903355262416</v>
      </c>
      <c r="I18" s="79">
        <v>3706.499602489559</v>
      </c>
      <c r="J18" s="81">
        <v>4342.9727848455514</v>
      </c>
      <c r="K18" s="77">
        <v>3676.6863710705929</v>
      </c>
      <c r="L18" s="78">
        <v>4425.7681293784935</v>
      </c>
      <c r="M18" s="79">
        <v>4621.2637375104405</v>
      </c>
      <c r="N18" s="81">
        <f t="shared" ref="N18" si="2">N19+N20+N21</f>
        <v>2681.7956445023597</v>
      </c>
    </row>
    <row r="19" spans="1:14" ht="30" x14ac:dyDescent="0.25">
      <c r="A19" s="75" t="s">
        <v>141</v>
      </c>
      <c r="B19" s="76" t="s">
        <v>142</v>
      </c>
      <c r="C19" s="82">
        <v>134.16132000000002</v>
      </c>
      <c r="D19" s="83">
        <v>42.249590000000005</v>
      </c>
      <c r="E19" s="84">
        <v>101.0111</v>
      </c>
      <c r="F19" s="85">
        <v>80.810399999999987</v>
      </c>
      <c r="G19" s="82">
        <v>59.308938529520539</v>
      </c>
      <c r="H19" s="83">
        <v>18.657028882160514</v>
      </c>
      <c r="I19" s="84">
        <v>44.957761971779703</v>
      </c>
      <c r="J19" s="86">
        <v>49.959991060525432</v>
      </c>
      <c r="K19" s="82">
        <v>74.852381470479486</v>
      </c>
      <c r="L19" s="83">
        <v>23.592561117839491</v>
      </c>
      <c r="M19" s="84">
        <v>56.053338028220296</v>
      </c>
      <c r="N19" s="86">
        <f t="shared" ref="N19:N20" si="3">F19-J19</f>
        <v>30.850408939474555</v>
      </c>
    </row>
    <row r="20" spans="1:14" ht="45" x14ac:dyDescent="0.25">
      <c r="A20" s="75" t="s">
        <v>143</v>
      </c>
      <c r="B20" s="76" t="s">
        <v>144</v>
      </c>
      <c r="C20" s="82">
        <v>2587.3200000000002</v>
      </c>
      <c r="D20" s="83">
        <v>2009.9358799999998</v>
      </c>
      <c r="E20" s="84">
        <v>1787.6338800000001</v>
      </c>
      <c r="F20" s="85">
        <v>964.12</v>
      </c>
      <c r="G20" s="82">
        <v>1143.7812540618941</v>
      </c>
      <c r="H20" s="83">
        <v>887.56912823179346</v>
      </c>
      <c r="I20" s="84">
        <v>795.63551401508357</v>
      </c>
      <c r="J20" s="86">
        <v>596.05479717058427</v>
      </c>
      <c r="K20" s="82">
        <v>1443.5387459381061</v>
      </c>
      <c r="L20" s="83">
        <v>1122.3667517682063</v>
      </c>
      <c r="M20" s="84">
        <v>991.99836598491652</v>
      </c>
      <c r="N20" s="86">
        <f t="shared" si="3"/>
        <v>368.06520282941574</v>
      </c>
    </row>
    <row r="21" spans="1:14" ht="45" x14ac:dyDescent="0.25">
      <c r="A21" s="75" t="s">
        <v>145</v>
      </c>
      <c r="B21" s="76" t="s">
        <v>146</v>
      </c>
      <c r="C21" s="77">
        <v>3868.4105054642</v>
      </c>
      <c r="D21" s="78">
        <v>5873.4860146409092</v>
      </c>
      <c r="E21" s="79">
        <v>6439.1183599999986</v>
      </c>
      <c r="F21" s="80">
        <v>5979.8380293479113</v>
      </c>
      <c r="G21" s="77">
        <v>1710.1152618021922</v>
      </c>
      <c r="H21" s="78">
        <v>2593.6771981484621</v>
      </c>
      <c r="I21" s="79">
        <v>2865.9063265026957</v>
      </c>
      <c r="J21" s="81">
        <v>3696.957996614442</v>
      </c>
      <c r="K21" s="77">
        <v>2158.2952436620076</v>
      </c>
      <c r="L21" s="78">
        <v>3279.8088164924475</v>
      </c>
      <c r="M21" s="79">
        <v>3573.2120334973033</v>
      </c>
      <c r="N21" s="81">
        <f t="shared" ref="N21" si="4">N22+N23+N24+N25+N26</f>
        <v>2282.8800327334693</v>
      </c>
    </row>
    <row r="22" spans="1:14" x14ac:dyDescent="0.25">
      <c r="A22" s="75" t="s">
        <v>147</v>
      </c>
      <c r="B22" s="76" t="s">
        <v>23</v>
      </c>
      <c r="C22" s="82">
        <v>46.35586</v>
      </c>
      <c r="D22" s="83">
        <v>36.19359</v>
      </c>
      <c r="E22" s="84">
        <v>48.935130000000001</v>
      </c>
      <c r="F22" s="85">
        <v>36.460320000000003</v>
      </c>
      <c r="G22" s="82">
        <v>20.492619267781947</v>
      </c>
      <c r="H22" s="83">
        <v>15.982755193105445</v>
      </c>
      <c r="I22" s="84">
        <v>21.779922469887925</v>
      </c>
      <c r="J22" s="86">
        <v>22.541124177876821</v>
      </c>
      <c r="K22" s="82">
        <v>25.863240732218053</v>
      </c>
      <c r="L22" s="87">
        <v>20.210834806894553</v>
      </c>
      <c r="M22" s="88">
        <v>27.155207530112076</v>
      </c>
      <c r="N22" s="89">
        <f t="shared" ref="N22:N26" si="5">F22-J22</f>
        <v>13.919195822123182</v>
      </c>
    </row>
    <row r="23" spans="1:14" ht="30" x14ac:dyDescent="0.25">
      <c r="A23" s="75" t="s">
        <v>148</v>
      </c>
      <c r="B23" s="76" t="s">
        <v>24</v>
      </c>
      <c r="C23" s="82">
        <v>93.712460000000007</v>
      </c>
      <c r="D23" s="83">
        <v>59.327460000000002</v>
      </c>
      <c r="E23" s="84">
        <v>82.255839999999992</v>
      </c>
      <c r="F23" s="85">
        <v>51.031660000000002</v>
      </c>
      <c r="G23" s="82">
        <v>41.42763748590243</v>
      </c>
      <c r="H23" s="83">
        <v>26.198458605757416</v>
      </c>
      <c r="I23" s="84">
        <v>36.610218832472825</v>
      </c>
      <c r="J23" s="86">
        <v>31.549667832404911</v>
      </c>
      <c r="K23" s="82">
        <v>52.284822514097577</v>
      </c>
      <c r="L23" s="87">
        <v>33.129001394242586</v>
      </c>
      <c r="M23" s="88">
        <v>45.645621167527167</v>
      </c>
      <c r="N23" s="89">
        <f t="shared" si="5"/>
        <v>19.481992167595092</v>
      </c>
    </row>
    <row r="24" spans="1:14" ht="60" x14ac:dyDescent="0.25">
      <c r="A24" s="75" t="s">
        <v>149</v>
      </c>
      <c r="B24" s="76" t="s">
        <v>150</v>
      </c>
      <c r="C24" s="82">
        <v>43.757750000000001</v>
      </c>
      <c r="D24" s="83">
        <v>47.888080000000002</v>
      </c>
      <c r="E24" s="84">
        <v>46.870100000000001</v>
      </c>
      <c r="F24" s="85">
        <v>27.551030000000001</v>
      </c>
      <c r="G24" s="82">
        <v>19.344068058812532</v>
      </c>
      <c r="H24" s="83">
        <v>21.146934009802536</v>
      </c>
      <c r="I24" s="84">
        <v>20.860824200444426</v>
      </c>
      <c r="J24" s="86">
        <v>17.033070155676352</v>
      </c>
      <c r="K24" s="82">
        <v>24.41368194118747</v>
      </c>
      <c r="L24" s="83">
        <v>26.741145990197467</v>
      </c>
      <c r="M24" s="84">
        <v>26.009275799555574</v>
      </c>
      <c r="N24" s="86">
        <f t="shared" si="5"/>
        <v>10.517959844323649</v>
      </c>
    </row>
    <row r="25" spans="1:14" x14ac:dyDescent="0.25">
      <c r="A25" s="75" t="s">
        <v>151</v>
      </c>
      <c r="B25" s="76" t="s">
        <v>25</v>
      </c>
      <c r="C25" s="82">
        <v>43.012870000000007</v>
      </c>
      <c r="D25" s="83">
        <v>8.1109599999999986</v>
      </c>
      <c r="E25" s="84">
        <v>11.944229999999999</v>
      </c>
      <c r="F25" s="85">
        <v>9.11</v>
      </c>
      <c r="G25" s="82">
        <v>19.014777603621209</v>
      </c>
      <c r="H25" s="83">
        <v>3.5817250530016644</v>
      </c>
      <c r="I25" s="84">
        <v>5.3161073315327751</v>
      </c>
      <c r="J25" s="86">
        <v>5.6321403997676871</v>
      </c>
      <c r="K25" s="82">
        <v>23.998092396378798</v>
      </c>
      <c r="L25" s="87">
        <v>4.5292349469983346</v>
      </c>
      <c r="M25" s="88">
        <v>6.6281226684672241</v>
      </c>
      <c r="N25" s="89">
        <f t="shared" si="5"/>
        <v>3.4778596002323123</v>
      </c>
    </row>
    <row r="26" spans="1:14" ht="30" x14ac:dyDescent="0.25">
      <c r="A26" s="75" t="s">
        <v>152</v>
      </c>
      <c r="B26" s="76" t="s">
        <v>26</v>
      </c>
      <c r="C26" s="83">
        <v>3641.5715654641999</v>
      </c>
      <c r="D26" s="83">
        <v>5721.9659246409092</v>
      </c>
      <c r="E26" s="84">
        <v>6249.1130599999988</v>
      </c>
      <c r="F26" s="85">
        <v>5855.6850193479113</v>
      </c>
      <c r="G26" s="82">
        <v>1609.8361593860741</v>
      </c>
      <c r="H26" s="83">
        <v>2526.7673252867949</v>
      </c>
      <c r="I26" s="84">
        <v>2781.3392536683577</v>
      </c>
      <c r="J26" s="86">
        <v>3620.2019940487162</v>
      </c>
      <c r="K26" s="82">
        <v>2031.7354060781258</v>
      </c>
      <c r="L26" s="87">
        <v>3195.1985993541143</v>
      </c>
      <c r="M26" s="88">
        <v>3467.773806331641</v>
      </c>
      <c r="N26" s="89">
        <f t="shared" si="5"/>
        <v>2235.4830252991951</v>
      </c>
    </row>
    <row r="27" spans="1:14" x14ac:dyDescent="0.25">
      <c r="A27" s="75" t="s">
        <v>153</v>
      </c>
      <c r="B27" s="76" t="s">
        <v>154</v>
      </c>
      <c r="C27" s="77">
        <v>941.4976537723893</v>
      </c>
      <c r="D27" s="78">
        <v>6332.3606453854045</v>
      </c>
      <c r="E27" s="79">
        <v>3074.0237250985374</v>
      </c>
      <c r="F27" s="80">
        <v>1414.5649932807969</v>
      </c>
      <c r="G27" s="77">
        <v>416.20957868687071</v>
      </c>
      <c r="H27" s="78">
        <v>2796.3119986066627</v>
      </c>
      <c r="I27" s="79">
        <v>1368.1786153064727</v>
      </c>
      <c r="J27" s="81">
        <v>874.53662423203991</v>
      </c>
      <c r="K27" s="77">
        <v>525.28807508551859</v>
      </c>
      <c r="L27" s="78">
        <v>3536.0486467787418</v>
      </c>
      <c r="M27" s="79">
        <v>1705.8451097920647</v>
      </c>
      <c r="N27" s="81">
        <f t="shared" ref="N27" si="6">N28+N29+N30+N31</f>
        <v>540.0283690487571</v>
      </c>
    </row>
    <row r="28" spans="1:14" x14ac:dyDescent="0.25">
      <c r="A28" s="75" t="s">
        <v>155</v>
      </c>
      <c r="B28" s="76" t="s">
        <v>156</v>
      </c>
      <c r="C28" s="82"/>
      <c r="D28" s="83"/>
      <c r="E28" s="84"/>
      <c r="F28" s="85"/>
      <c r="G28" s="82"/>
      <c r="H28" s="83"/>
      <c r="I28" s="84"/>
      <c r="J28" s="86"/>
      <c r="K28" s="82"/>
      <c r="L28" s="87"/>
      <c r="M28" s="88"/>
      <c r="N28" s="89"/>
    </row>
    <row r="29" spans="1:14" x14ac:dyDescent="0.25">
      <c r="A29" s="75" t="s">
        <v>157</v>
      </c>
      <c r="B29" s="76" t="s">
        <v>158</v>
      </c>
      <c r="C29" s="82">
        <v>0</v>
      </c>
      <c r="D29" s="83"/>
      <c r="E29" s="84">
        <v>1203.07755</v>
      </c>
      <c r="F29" s="85">
        <v>1338.7908</v>
      </c>
      <c r="G29" s="82">
        <v>0</v>
      </c>
      <c r="H29" s="83">
        <v>0</v>
      </c>
      <c r="I29" s="84">
        <v>535.46267812638314</v>
      </c>
      <c r="J29" s="86">
        <v>827.69020324009898</v>
      </c>
      <c r="K29" s="82">
        <v>0</v>
      </c>
      <c r="L29" s="87">
        <v>0</v>
      </c>
      <c r="M29" s="88">
        <v>667.61487187361683</v>
      </c>
      <c r="N29" s="89">
        <f t="shared" ref="N29:N31" si="7">F29-J29</f>
        <v>511.10059675990101</v>
      </c>
    </row>
    <row r="30" spans="1:14" x14ac:dyDescent="0.25">
      <c r="A30" s="75" t="s">
        <v>159</v>
      </c>
      <c r="B30" s="76" t="s">
        <v>160</v>
      </c>
      <c r="C30" s="82">
        <v>455.19281722540472</v>
      </c>
      <c r="D30" s="83">
        <v>6086.8044967391506</v>
      </c>
      <c r="E30" s="84">
        <v>1694.1843832208465</v>
      </c>
      <c r="F30" s="85">
        <v>15.681064471043801</v>
      </c>
      <c r="G30" s="82">
        <v>201.22791588440543</v>
      </c>
      <c r="H30" s="83">
        <v>2687.876670418028</v>
      </c>
      <c r="I30" s="84">
        <v>754.04325106002443</v>
      </c>
      <c r="J30" s="86">
        <v>9.6946165443169612</v>
      </c>
      <c r="K30" s="82">
        <v>253.96490134099929</v>
      </c>
      <c r="L30" s="87">
        <v>3398.9278263211227</v>
      </c>
      <c r="M30" s="88">
        <v>940.14113216082205</v>
      </c>
      <c r="N30" s="89">
        <f t="shared" si="7"/>
        <v>5.9864479267268393</v>
      </c>
    </row>
    <row r="31" spans="1:14" ht="45.75" thickBot="1" x14ac:dyDescent="0.3">
      <c r="A31" s="90" t="s">
        <v>161</v>
      </c>
      <c r="B31" s="91" t="s">
        <v>162</v>
      </c>
      <c r="C31" s="92">
        <v>486.30483654698457</v>
      </c>
      <c r="D31" s="93">
        <v>245.55614864625366</v>
      </c>
      <c r="E31" s="94">
        <v>176.761791877691</v>
      </c>
      <c r="F31" s="95">
        <v>60.093128809753097</v>
      </c>
      <c r="G31" s="92">
        <v>214.98166280246525</v>
      </c>
      <c r="H31" s="93">
        <v>108.4353281886346</v>
      </c>
      <c r="I31" s="94">
        <v>78.672686120064981</v>
      </c>
      <c r="J31" s="96">
        <v>37.151804447623924</v>
      </c>
      <c r="K31" s="92">
        <v>271.32317374451929</v>
      </c>
      <c r="L31" s="97">
        <v>137.12082045761906</v>
      </c>
      <c r="M31" s="98">
        <v>98.089105757626015</v>
      </c>
      <c r="N31" s="99">
        <f t="shared" si="7"/>
        <v>22.941324362129173</v>
      </c>
    </row>
    <row r="33" spans="6:7" x14ac:dyDescent="0.25">
      <c r="F33" s="100"/>
      <c r="G33" s="100"/>
    </row>
    <row r="34" spans="6:7" x14ac:dyDescent="0.25">
      <c r="F34" s="100"/>
      <c r="G34" s="100"/>
    </row>
    <row r="35" spans="6:7" x14ac:dyDescent="0.25">
      <c r="F35" s="100"/>
      <c r="G35" s="100"/>
    </row>
    <row r="36" spans="6:7" s="63" customFormat="1" ht="18.75" x14ac:dyDescent="0.3"/>
    <row r="37" spans="6:7" x14ac:dyDescent="0.25">
      <c r="F37" s="100"/>
      <c r="G37" s="100"/>
    </row>
    <row r="38" spans="6:7" x14ac:dyDescent="0.25">
      <c r="F38" s="100"/>
      <c r="G38" s="100"/>
    </row>
    <row r="39" spans="6:7" x14ac:dyDescent="0.25">
      <c r="F39" s="100"/>
      <c r="G39" s="100"/>
    </row>
    <row r="40" spans="6:7" x14ac:dyDescent="0.25">
      <c r="F40" s="100"/>
      <c r="G40" s="100"/>
    </row>
    <row r="41" spans="6:7" x14ac:dyDescent="0.25">
      <c r="F41" s="100"/>
      <c r="G41" s="100"/>
    </row>
    <row r="43" spans="6:7" x14ac:dyDescent="0.25">
      <c r="F43" s="100"/>
      <c r="G43" s="100"/>
    </row>
    <row r="44" spans="6:7" x14ac:dyDescent="0.25">
      <c r="F44" s="100"/>
      <c r="G44" s="100"/>
    </row>
    <row r="45" spans="6:7" x14ac:dyDescent="0.25">
      <c r="F45" s="100"/>
      <c r="G45" s="100"/>
    </row>
    <row r="46" spans="6:7" x14ac:dyDescent="0.25">
      <c r="F46" s="100"/>
      <c r="G46" s="100"/>
    </row>
    <row r="47" spans="6:7" x14ac:dyDescent="0.25">
      <c r="F47" s="100"/>
      <c r="G47" s="100"/>
    </row>
    <row r="48" spans="6:7" x14ac:dyDescent="0.25">
      <c r="F48" s="100"/>
      <c r="G48" s="100"/>
    </row>
    <row r="49" spans="1:7" x14ac:dyDescent="0.25">
      <c r="F49" s="100"/>
      <c r="G49" s="100"/>
    </row>
    <row r="50" spans="1:7" x14ac:dyDescent="0.25">
      <c r="F50" s="100"/>
      <c r="G50" s="100"/>
    </row>
    <row r="51" spans="1:7" x14ac:dyDescent="0.25">
      <c r="F51" s="100"/>
      <c r="G51" s="100"/>
    </row>
    <row r="52" spans="1:7" x14ac:dyDescent="0.25">
      <c r="F52" s="100"/>
      <c r="G52" s="100"/>
    </row>
    <row r="53" spans="1:7" x14ac:dyDescent="0.25">
      <c r="F53" s="100"/>
      <c r="G53" s="100"/>
    </row>
    <row r="54" spans="1:7" x14ac:dyDescent="0.25">
      <c r="F54" s="100"/>
      <c r="G54" s="100"/>
    </row>
    <row r="55" spans="1:7" x14ac:dyDescent="0.25">
      <c r="F55" s="100"/>
      <c r="G55" s="100"/>
    </row>
    <row r="56" spans="1:7" x14ac:dyDescent="0.25">
      <c r="F56" s="100"/>
      <c r="G56" s="100"/>
    </row>
    <row r="57" spans="1:7" x14ac:dyDescent="0.25">
      <c r="F57" s="100"/>
      <c r="G57" s="100"/>
    </row>
    <row r="58" spans="1:7" x14ac:dyDescent="0.25">
      <c r="F58" s="100"/>
      <c r="G58" s="100"/>
    </row>
    <row r="59" spans="1:7" x14ac:dyDescent="0.25">
      <c r="F59" s="100"/>
      <c r="G59" s="100"/>
    </row>
    <row r="60" spans="1:7" x14ac:dyDescent="0.25">
      <c r="F60" s="100"/>
      <c r="G60" s="100"/>
    </row>
    <row r="61" spans="1:7" x14ac:dyDescent="0.25">
      <c r="F61" s="100"/>
      <c r="G61" s="100"/>
    </row>
    <row r="62" spans="1:7" x14ac:dyDescent="0.25">
      <c r="F62" s="100"/>
      <c r="G62" s="100"/>
    </row>
    <row r="63" spans="1:7" x14ac:dyDescent="0.25">
      <c r="A63" s="64"/>
      <c r="F63" s="100"/>
      <c r="G63" s="100"/>
    </row>
    <row r="64" spans="1:7" x14ac:dyDescent="0.25">
      <c r="A64" s="64"/>
      <c r="F64" s="100"/>
      <c r="G64" s="100"/>
    </row>
    <row r="65" spans="1:14" x14ac:dyDescent="0.25">
      <c r="A65" s="65"/>
      <c r="F65" s="100"/>
      <c r="G65" s="100"/>
    </row>
    <row r="66" spans="1:14" x14ac:dyDescent="0.25">
      <c r="F66" s="100"/>
      <c r="G66" s="100"/>
    </row>
    <row r="67" spans="1:14" x14ac:dyDescent="0.25">
      <c r="F67" s="100"/>
      <c r="G67" s="100"/>
    </row>
    <row r="68" spans="1:14" x14ac:dyDescent="0.25">
      <c r="F68" s="100"/>
      <c r="G68" s="100"/>
    </row>
    <row r="69" spans="1:14" x14ac:dyDescent="0.25">
      <c r="C69" s="101"/>
      <c r="D69" s="101"/>
      <c r="E69" s="101"/>
      <c r="F69" s="100"/>
      <c r="G69" s="101"/>
      <c r="H69" s="101"/>
      <c r="I69" s="101"/>
      <c r="J69" s="101"/>
      <c r="K69" s="101"/>
      <c r="L69" s="101"/>
      <c r="M69" s="101"/>
      <c r="N69" s="101"/>
    </row>
    <row r="70" spans="1:14" x14ac:dyDescent="0.25">
      <c r="D70" s="101"/>
      <c r="E70" s="101"/>
      <c r="F70" s="100"/>
      <c r="G70" s="101"/>
      <c r="H70" s="101"/>
      <c r="I70" s="101"/>
      <c r="J70" s="101"/>
      <c r="K70" s="101"/>
      <c r="L70" s="101"/>
      <c r="M70" s="101"/>
      <c r="N70" s="101"/>
    </row>
    <row r="71" spans="1:14" x14ac:dyDescent="0.25">
      <c r="D71" s="101"/>
      <c r="E71" s="101"/>
      <c r="F71" s="100"/>
      <c r="G71" s="100"/>
      <c r="H71" s="101"/>
      <c r="I71" s="101"/>
      <c r="J71" s="101"/>
      <c r="K71" s="101"/>
      <c r="L71" s="101"/>
      <c r="M71" s="101"/>
      <c r="N71" s="101"/>
    </row>
    <row r="72" spans="1:14" s="102" customFormat="1" x14ac:dyDescent="0.25">
      <c r="F72" s="103"/>
      <c r="G72" s="103"/>
    </row>
    <row r="73" spans="1:14" s="102" customFormat="1" x14ac:dyDescent="0.25"/>
    <row r="74" spans="1:14" s="102" customFormat="1" x14ac:dyDescent="0.25">
      <c r="B74" s="104"/>
      <c r="C74" s="104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</row>
    <row r="75" spans="1:14" x14ac:dyDescent="0.25">
      <c r="B75" s="104"/>
      <c r="C75" s="104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</row>
    <row r="76" spans="1:14" x14ac:dyDescent="0.25">
      <c r="B76" s="104"/>
      <c r="C76" s="104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</row>
    <row r="77" spans="1:14" x14ac:dyDescent="0.25">
      <c r="B77" s="104"/>
      <c r="C77" s="104"/>
      <c r="D77" s="101"/>
      <c r="E77" s="101"/>
      <c r="F77" s="101"/>
      <c r="G77" s="101"/>
      <c r="H77" s="101"/>
      <c r="I77" s="101"/>
      <c r="J77" s="105"/>
      <c r="K77" s="105"/>
      <c r="L77" s="101"/>
      <c r="M77" s="101"/>
      <c r="N77" s="101"/>
    </row>
    <row r="78" spans="1:14" x14ac:dyDescent="0.25"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</row>
  </sheetData>
  <mergeCells count="7">
    <mergeCell ref="A8:N8"/>
    <mergeCell ref="A10:A12"/>
    <mergeCell ref="B10:B12"/>
    <mergeCell ref="C10:F11"/>
    <mergeCell ref="G10:N10"/>
    <mergeCell ref="G11:J11"/>
    <mergeCell ref="K11:N11"/>
  </mergeCells>
  <pageMargins left="0.70866141732283472" right="0.70866141732283472" top="0.74803149606299213" bottom="0.74803149606299213" header="0.31496062992125984" footer="0.31496062992125984"/>
  <pageSetup paperSize="9" scale="50" fitToHeight="10" orientation="portrait" r:id="rId1"/>
  <rowBreaks count="1" manualBreakCount="1">
    <brk id="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1"/>
  <sheetViews>
    <sheetView view="pageBreakPreview" topLeftCell="A10" zoomScale="60" zoomScaleNormal="100" workbookViewId="0">
      <selection activeCell="I24" sqref="I24:K29"/>
    </sheetView>
  </sheetViews>
  <sheetFormatPr defaultRowHeight="15" outlineLevelRow="1" x14ac:dyDescent="0.25"/>
  <cols>
    <col min="1" max="1" width="10" style="112" customWidth="1"/>
    <col min="2" max="2" width="6.7109375" style="112" customWidth="1"/>
    <col min="3" max="3" width="10.85546875" style="112" customWidth="1"/>
    <col min="4" max="4" width="14" style="112" customWidth="1"/>
    <col min="5" max="5" width="17.5703125" style="112" customWidth="1"/>
    <col min="6" max="14" width="14.42578125" style="154" customWidth="1"/>
    <col min="15" max="17" width="17.28515625" style="154" customWidth="1"/>
    <col min="18" max="18" width="9.140625" style="112"/>
    <col min="19" max="21" width="15.140625" style="112" customWidth="1"/>
    <col min="22" max="22" width="26.42578125" style="112" customWidth="1"/>
    <col min="23" max="23" width="31.5703125" style="112" customWidth="1"/>
    <col min="24" max="31" width="12.85546875" style="112" customWidth="1"/>
    <col min="32" max="16384" width="9.140625" style="112"/>
  </cols>
  <sheetData>
    <row r="1" spans="1:31" s="107" customFormat="1" ht="39.75" customHeight="1" x14ac:dyDescent="0.25">
      <c r="A1" s="259" t="s">
        <v>163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1" s="107" customFormat="1" ht="18.7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1" s="107" customFormat="1" ht="19.5" customHeight="1" x14ac:dyDescent="0.3">
      <c r="A3" s="260" t="s">
        <v>164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</row>
    <row r="4" spans="1:31" s="107" customFormat="1" ht="19.5" customHeight="1" thickBot="1" x14ac:dyDescent="0.3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</row>
    <row r="5" spans="1:31" s="107" customFormat="1" ht="33" customHeight="1" thickBot="1" x14ac:dyDescent="0.3">
      <c r="A5" s="261" t="s">
        <v>165</v>
      </c>
      <c r="B5" s="262"/>
      <c r="C5" s="262"/>
      <c r="D5" s="262"/>
      <c r="E5" s="263"/>
      <c r="F5" s="264" t="s">
        <v>166</v>
      </c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6"/>
      <c r="R5" s="111"/>
    </row>
    <row r="6" spans="1:31" s="107" customFormat="1" ht="31.5" customHeight="1" x14ac:dyDescent="0.25">
      <c r="A6" s="267" t="s">
        <v>167</v>
      </c>
      <c r="B6" s="269" t="s">
        <v>168</v>
      </c>
      <c r="C6" s="258" t="s">
        <v>169</v>
      </c>
      <c r="D6" s="258" t="s">
        <v>170</v>
      </c>
      <c r="E6" s="258" t="s">
        <v>171</v>
      </c>
      <c r="F6" s="272" t="s">
        <v>172</v>
      </c>
      <c r="G6" s="272"/>
      <c r="H6" s="272"/>
      <c r="I6" s="272" t="s">
        <v>173</v>
      </c>
      <c r="J6" s="272"/>
      <c r="K6" s="272"/>
      <c r="L6" s="272" t="s">
        <v>174</v>
      </c>
      <c r="M6" s="272"/>
      <c r="N6" s="272"/>
      <c r="O6" s="273" t="s">
        <v>175</v>
      </c>
      <c r="P6" s="273"/>
      <c r="Q6" s="274"/>
      <c r="R6" s="112"/>
      <c r="S6" s="271" t="s">
        <v>176</v>
      </c>
      <c r="T6" s="275"/>
      <c r="U6" s="275"/>
      <c r="V6" s="48" t="s">
        <v>177</v>
      </c>
      <c r="W6" s="48" t="s">
        <v>178</v>
      </c>
    </row>
    <row r="7" spans="1:31" s="107" customFormat="1" x14ac:dyDescent="0.25">
      <c r="A7" s="268"/>
      <c r="B7" s="270"/>
      <c r="C7" s="271"/>
      <c r="D7" s="271"/>
      <c r="E7" s="271"/>
      <c r="F7" s="113">
        <v>2015</v>
      </c>
      <c r="G7" s="113">
        <v>2016</v>
      </c>
      <c r="H7" s="113">
        <v>2017</v>
      </c>
      <c r="I7" s="113">
        <v>2015</v>
      </c>
      <c r="J7" s="113">
        <v>2016</v>
      </c>
      <c r="K7" s="113">
        <v>2017</v>
      </c>
      <c r="L7" s="114">
        <v>2015</v>
      </c>
      <c r="M7" s="113">
        <v>2016</v>
      </c>
      <c r="N7" s="114">
        <v>2017</v>
      </c>
      <c r="O7" s="113">
        <v>2015</v>
      </c>
      <c r="P7" s="113">
        <v>2016</v>
      </c>
      <c r="Q7" s="115">
        <v>2017</v>
      </c>
      <c r="R7" s="112"/>
      <c r="S7" s="49">
        <v>2015</v>
      </c>
      <c r="T7" s="49">
        <v>2016</v>
      </c>
      <c r="U7" s="49">
        <v>2017</v>
      </c>
      <c r="V7" s="49" t="s">
        <v>179</v>
      </c>
      <c r="W7" s="49">
        <v>2019</v>
      </c>
    </row>
    <row r="8" spans="1:31" s="123" customFormat="1" ht="73.5" customHeight="1" x14ac:dyDescent="0.25">
      <c r="A8" s="247" t="s">
        <v>180</v>
      </c>
      <c r="B8" s="250" t="s">
        <v>181</v>
      </c>
      <c r="C8" s="253" t="s">
        <v>182</v>
      </c>
      <c r="D8" s="256" t="s">
        <v>183</v>
      </c>
      <c r="E8" s="116" t="s">
        <v>184</v>
      </c>
      <c r="F8" s="117">
        <v>3000</v>
      </c>
      <c r="G8" s="118">
        <f>42835-38000</f>
        <v>4835</v>
      </c>
      <c r="H8" s="118">
        <v>1305</v>
      </c>
      <c r="I8" s="117" t="s">
        <v>224</v>
      </c>
      <c r="J8" s="117" t="s">
        <v>224</v>
      </c>
      <c r="K8" s="117" t="s">
        <v>224</v>
      </c>
      <c r="L8" s="119">
        <v>4248.4549999999999</v>
      </c>
      <c r="M8" s="119">
        <v>5635.3993099999998</v>
      </c>
      <c r="N8" s="119">
        <v>2282.5369999999998</v>
      </c>
      <c r="O8" s="117">
        <v>1970</v>
      </c>
      <c r="P8" s="117">
        <v>274</v>
      </c>
      <c r="Q8" s="120">
        <v>650</v>
      </c>
      <c r="R8" s="121"/>
      <c r="S8" s="52">
        <f>IF(F8=0, ,L8/(F8/1000))</f>
        <v>1416.1516666666666</v>
      </c>
      <c r="T8" s="52">
        <f t="shared" ref="T8:U14" si="0">IF(G8=0, ,M8/(G8/1000))</f>
        <v>1165.5427735263702</v>
      </c>
      <c r="U8" s="52">
        <f t="shared" si="0"/>
        <v>1749.0704980842911</v>
      </c>
      <c r="V8" s="122">
        <f>COUNTIF(S8:U8,"&lt;&gt;0")</f>
        <v>3</v>
      </c>
      <c r="W8" s="52">
        <f>(S8*([1]ИЦП!$B$94/100)*([1]ИЦП!$C$94/100)+T8*[1]ИЦП!$C$94/100+U8)/V8*([1]ИЦП!$D$94/100)*([1]ИЦП!$E$94/100)*1000</f>
        <v>1676631.6718506317</v>
      </c>
    </row>
    <row r="9" spans="1:31" s="123" customFormat="1" ht="73.5" customHeight="1" x14ac:dyDescent="0.25">
      <c r="A9" s="248"/>
      <c r="B9" s="251"/>
      <c r="C9" s="254"/>
      <c r="D9" s="257"/>
      <c r="E9" s="116" t="s">
        <v>185</v>
      </c>
      <c r="F9" s="117">
        <v>843</v>
      </c>
      <c r="G9" s="117">
        <v>580</v>
      </c>
      <c r="H9" s="117"/>
      <c r="I9" s="117" t="s">
        <v>225</v>
      </c>
      <c r="J9" s="117" t="s">
        <v>225</v>
      </c>
      <c r="K9" s="117" t="s">
        <v>225</v>
      </c>
      <c r="L9" s="119">
        <v>1085.2070000000001</v>
      </c>
      <c r="M9" s="119">
        <v>648.98199999999997</v>
      </c>
      <c r="N9" s="119"/>
      <c r="O9" s="117">
        <v>650</v>
      </c>
      <c r="P9" s="117">
        <v>351</v>
      </c>
      <c r="Q9" s="120"/>
      <c r="R9" s="121"/>
      <c r="S9" s="52">
        <f t="shared" ref="S9:S14" si="1">IF(F9=0, ,L9/(F9/1000))</f>
        <v>1287.3155397390274</v>
      </c>
      <c r="T9" s="52">
        <f t="shared" si="0"/>
        <v>1118.9344827586208</v>
      </c>
      <c r="U9" s="52">
        <f t="shared" si="0"/>
        <v>0</v>
      </c>
      <c r="V9" s="122">
        <f t="shared" ref="V9:V14" si="2">COUNTIF(S9:U9,"&lt;&gt;0")</f>
        <v>2</v>
      </c>
      <c r="W9" s="52">
        <f>(S9*([1]ИЦП!$B$94/100)*([1]ИЦП!$C$94/100)+T9*[1]ИЦП!$C$94/100+U9)/V9*([1]ИЦП!$D$94/100)*([1]ИЦП!$E$94/100)*1000</f>
        <v>1446964.8113222308</v>
      </c>
    </row>
    <row r="10" spans="1:31" s="123" customFormat="1" ht="73.5" customHeight="1" thickBot="1" x14ac:dyDescent="0.3">
      <c r="A10" s="248"/>
      <c r="B10" s="251"/>
      <c r="C10" s="254"/>
      <c r="D10" s="258"/>
      <c r="E10" s="124" t="s">
        <v>186</v>
      </c>
      <c r="F10" s="125"/>
      <c r="G10" s="125"/>
      <c r="H10" s="125">
        <v>1579</v>
      </c>
      <c r="I10" s="125" t="s">
        <v>226</v>
      </c>
      <c r="J10" s="125" t="s">
        <v>226</v>
      </c>
      <c r="K10" s="125" t="s">
        <v>226</v>
      </c>
      <c r="L10" s="126"/>
      <c r="M10" s="126"/>
      <c r="N10" s="126">
        <v>4980.8419999999996</v>
      </c>
      <c r="O10" s="125"/>
      <c r="P10" s="125"/>
      <c r="Q10" s="127">
        <v>500</v>
      </c>
      <c r="R10" s="121"/>
      <c r="S10" s="52">
        <f t="shared" si="1"/>
        <v>0</v>
      </c>
      <c r="T10" s="52">
        <f t="shared" si="0"/>
        <v>0</v>
      </c>
      <c r="U10" s="52">
        <f t="shared" si="0"/>
        <v>3154.428119062698</v>
      </c>
      <c r="V10" s="122">
        <f t="shared" si="2"/>
        <v>1</v>
      </c>
      <c r="W10" s="52">
        <f>(S10*([1]ИЦП!$B$94/100)*([1]ИЦП!$C$94/100)+T10*[1]ИЦП!$C$94/100+U10)/V10*([1]ИЦП!$D$94/100)*([1]ИЦП!$E$94/100)*1000</f>
        <v>3467753.2488934794</v>
      </c>
    </row>
    <row r="11" spans="1:31" s="123" customFormat="1" ht="73.5" hidden="1" customHeight="1" thickBot="1" x14ac:dyDescent="0.3">
      <c r="A11" s="249"/>
      <c r="B11" s="252"/>
      <c r="C11" s="255"/>
      <c r="D11" s="48" t="s">
        <v>187</v>
      </c>
      <c r="E11" s="116" t="s">
        <v>185</v>
      </c>
      <c r="F11" s="125"/>
      <c r="G11" s="125"/>
      <c r="H11" s="125"/>
      <c r="I11" s="125"/>
      <c r="J11" s="125"/>
      <c r="K11" s="125"/>
      <c r="L11" s="126"/>
      <c r="M11" s="126"/>
      <c r="N11" s="126"/>
      <c r="O11" s="125"/>
      <c r="P11" s="125"/>
      <c r="Q11" s="127"/>
      <c r="R11" s="121"/>
      <c r="S11" s="52">
        <f t="shared" si="1"/>
        <v>0</v>
      </c>
      <c r="T11" s="52">
        <f t="shared" si="0"/>
        <v>0</v>
      </c>
      <c r="U11" s="52">
        <f t="shared" si="0"/>
        <v>0</v>
      </c>
      <c r="V11" s="122">
        <f t="shared" si="2"/>
        <v>0</v>
      </c>
      <c r="W11" s="52" t="e">
        <f>(S11*([1]ИЦП!$B$94/100)*([1]ИЦП!$C$94/100)+T11*[1]ИЦП!$C$94/100+U11)/V11*([1]ИЦП!$D$94/100)*([1]ИЦП!$E$94/100)*1000</f>
        <v>#DIV/0!</v>
      </c>
    </row>
    <row r="12" spans="1:31" s="123" customFormat="1" ht="52.5" customHeight="1" x14ac:dyDescent="0.25">
      <c r="A12" s="276" t="s">
        <v>188</v>
      </c>
      <c r="B12" s="278" t="s">
        <v>181</v>
      </c>
      <c r="C12" s="280" t="s">
        <v>182</v>
      </c>
      <c r="D12" s="282" t="s">
        <v>183</v>
      </c>
      <c r="E12" s="128" t="s">
        <v>184</v>
      </c>
      <c r="F12" s="129">
        <v>12250.75</v>
      </c>
      <c r="G12" s="129">
        <v>17104.999999999996</v>
      </c>
      <c r="H12" s="129">
        <v>8722</v>
      </c>
      <c r="I12" s="129" t="s">
        <v>224</v>
      </c>
      <c r="J12" s="129" t="s">
        <v>224</v>
      </c>
      <c r="K12" s="129" t="s">
        <v>224</v>
      </c>
      <c r="L12" s="130">
        <v>11451.405709999999</v>
      </c>
      <c r="M12" s="130">
        <v>17278.153420000002</v>
      </c>
      <c r="N12" s="130">
        <v>10266.477000000001</v>
      </c>
      <c r="O12" s="129">
        <v>2104.5</v>
      </c>
      <c r="P12" s="129">
        <v>1608</v>
      </c>
      <c r="Q12" s="131">
        <v>940</v>
      </c>
      <c r="R12" s="121"/>
      <c r="S12" s="52">
        <f t="shared" si="1"/>
        <v>934.75139971022179</v>
      </c>
      <c r="T12" s="52">
        <f t="shared" si="0"/>
        <v>1010.1229710610936</v>
      </c>
      <c r="U12" s="52">
        <f t="shared" si="0"/>
        <v>1177.0783077275855</v>
      </c>
      <c r="V12" s="122">
        <f t="shared" si="2"/>
        <v>3</v>
      </c>
      <c r="W12" s="52">
        <f>(S12*([1]ИЦП!$B$94/100)*([1]ИЦП!$C$94/100)+T12*[1]ИЦП!$C$94/100+U12)/V12*([1]ИЦП!$D$94/100)*([1]ИЦП!$E$94/100)*1000</f>
        <v>1208837.400380363</v>
      </c>
    </row>
    <row r="13" spans="1:31" s="123" customFormat="1" ht="52.5" customHeight="1" x14ac:dyDescent="0.25">
      <c r="A13" s="277"/>
      <c r="B13" s="279"/>
      <c r="C13" s="281"/>
      <c r="D13" s="271"/>
      <c r="E13" s="116" t="s">
        <v>185</v>
      </c>
      <c r="F13" s="132">
        <v>5915</v>
      </c>
      <c r="G13" s="132">
        <v>10013</v>
      </c>
      <c r="H13" s="132">
        <v>6011</v>
      </c>
      <c r="I13" s="132" t="s">
        <v>225</v>
      </c>
      <c r="J13" s="132" t="s">
        <v>225</v>
      </c>
      <c r="K13" s="132" t="s">
        <v>225</v>
      </c>
      <c r="L13" s="133">
        <v>6043.3209999999999</v>
      </c>
      <c r="M13" s="133">
        <v>11609.381000000001</v>
      </c>
      <c r="N13" s="133">
        <v>8522.9979999999996</v>
      </c>
      <c r="O13" s="132">
        <v>1623</v>
      </c>
      <c r="P13" s="132">
        <v>1826</v>
      </c>
      <c r="Q13" s="134">
        <v>915</v>
      </c>
      <c r="R13" s="121"/>
      <c r="S13" s="52">
        <f t="shared" si="1"/>
        <v>1021.6941673710904</v>
      </c>
      <c r="T13" s="52">
        <f t="shared" si="0"/>
        <v>1159.4308399081197</v>
      </c>
      <c r="U13" s="52">
        <f t="shared" si="0"/>
        <v>1417.9001829978372</v>
      </c>
      <c r="V13" s="122">
        <f t="shared" si="2"/>
        <v>3</v>
      </c>
      <c r="W13" s="52">
        <f>(S13*([1]ИЦП!$B$94/100)*([1]ИЦП!$C$94/100)+T13*[1]ИЦП!$C$94/100+U13)/V13*([1]ИЦП!$D$94/100)*([1]ИЦП!$E$94/100)*1000</f>
        <v>1390983.4723668846</v>
      </c>
    </row>
    <row r="14" spans="1:31" s="123" customFormat="1" ht="52.5" customHeight="1" x14ac:dyDescent="0.25">
      <c r="A14" s="277"/>
      <c r="B14" s="279"/>
      <c r="C14" s="281"/>
      <c r="D14" s="48" t="s">
        <v>187</v>
      </c>
      <c r="E14" s="116" t="s">
        <v>184</v>
      </c>
      <c r="F14" s="132">
        <v>225</v>
      </c>
      <c r="G14" s="132"/>
      <c r="H14" s="132"/>
      <c r="I14" s="132" t="s">
        <v>224</v>
      </c>
      <c r="J14" s="132" t="s">
        <v>224</v>
      </c>
      <c r="K14" s="132" t="s">
        <v>224</v>
      </c>
      <c r="L14" s="133">
        <v>535.68600000000004</v>
      </c>
      <c r="M14" s="133"/>
      <c r="N14" s="133"/>
      <c r="O14" s="132">
        <v>177</v>
      </c>
      <c r="P14" s="132"/>
      <c r="Q14" s="134"/>
      <c r="R14" s="121"/>
      <c r="S14" s="52">
        <f t="shared" si="1"/>
        <v>2380.8266666666668</v>
      </c>
      <c r="T14" s="52">
        <f t="shared" si="0"/>
        <v>0</v>
      </c>
      <c r="U14" s="52">
        <f t="shared" si="0"/>
        <v>0</v>
      </c>
      <c r="V14" s="122">
        <f t="shared" si="2"/>
        <v>1</v>
      </c>
      <c r="W14" s="52">
        <f>(S14*([1]ИЦП!$B$94/100)*([1]ИЦП!$C$94/100)+T14*[1]ИЦП!$C$94/100+U14)/V14*([1]ИЦП!$D$94/100)*([1]ИЦП!$E$94/100)*1000</f>
        <v>2931725.1795404563</v>
      </c>
    </row>
    <row r="15" spans="1:31" s="107" customFormat="1" ht="15" customHeight="1" x14ac:dyDescent="0.25">
      <c r="A15" s="135"/>
      <c r="B15" s="136"/>
      <c r="C15" s="137"/>
      <c r="D15" s="138"/>
      <c r="E15" s="138"/>
      <c r="F15" s="139"/>
      <c r="G15" s="139"/>
      <c r="H15" s="139"/>
      <c r="I15" s="139"/>
      <c r="J15" s="139"/>
      <c r="K15" s="139"/>
      <c r="L15" s="140"/>
      <c r="M15" s="140"/>
      <c r="N15" s="140"/>
      <c r="O15" s="141"/>
      <c r="P15" s="141"/>
      <c r="Q15" s="141"/>
      <c r="R15" s="112"/>
    </row>
    <row r="16" spans="1:31" s="142" customFormat="1" ht="15.75" hidden="1" outlineLevel="1" x14ac:dyDescent="0.25">
      <c r="E16" s="143" t="s">
        <v>189</v>
      </c>
      <c r="F16" s="144">
        <f>F8+F9+F10+F11+F12+F13+F14</f>
        <v>22233.75</v>
      </c>
      <c r="G16" s="144">
        <f t="shared" ref="G16:Q16" si="3">G8+G9+G10+G11+G12+G13+G14</f>
        <v>32532.999999999996</v>
      </c>
      <c r="H16" s="144">
        <f t="shared" si="3"/>
        <v>17617</v>
      </c>
      <c r="I16" s="144" t="e">
        <f t="shared" si="3"/>
        <v>#VALUE!</v>
      </c>
      <c r="J16" s="144" t="e">
        <f t="shared" si="3"/>
        <v>#VALUE!</v>
      </c>
      <c r="K16" s="144" t="e">
        <f t="shared" si="3"/>
        <v>#VALUE!</v>
      </c>
      <c r="L16" s="145">
        <f t="shared" si="3"/>
        <v>23364.074710000001</v>
      </c>
      <c r="M16" s="145">
        <f t="shared" si="3"/>
        <v>35171.915730000008</v>
      </c>
      <c r="N16" s="145">
        <f t="shared" si="3"/>
        <v>26052.853999999999</v>
      </c>
      <c r="O16" s="144">
        <f t="shared" si="3"/>
        <v>6524.5</v>
      </c>
      <c r="P16" s="144">
        <f t="shared" si="3"/>
        <v>4059</v>
      </c>
      <c r="Q16" s="144">
        <f t="shared" si="3"/>
        <v>3005</v>
      </c>
    </row>
    <row r="17" spans="1:23" s="146" customFormat="1" ht="18.75" collapsed="1" x14ac:dyDescent="0.3">
      <c r="E17" s="147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1:23" s="146" customFormat="1" ht="18.75" x14ac:dyDescent="0.3">
      <c r="E18" s="147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</row>
    <row r="19" spans="1:23" s="146" customFormat="1" ht="18.75" x14ac:dyDescent="0.3">
      <c r="E19" s="147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</row>
    <row r="20" spans="1:23" s="146" customFormat="1" ht="15.75" thickBot="1" x14ac:dyDescent="0.3">
      <c r="F20" s="141"/>
      <c r="G20" s="149"/>
      <c r="H20" s="141"/>
      <c r="I20" s="149"/>
      <c r="J20" s="149"/>
      <c r="K20" s="149"/>
      <c r="L20" s="141"/>
      <c r="M20" s="149"/>
      <c r="N20" s="141"/>
      <c r="O20" s="141"/>
      <c r="P20" s="149"/>
      <c r="Q20" s="141"/>
    </row>
    <row r="21" spans="1:23" s="107" customFormat="1" ht="32.25" customHeight="1" thickBot="1" x14ac:dyDescent="0.3">
      <c r="A21" s="261" t="s">
        <v>165</v>
      </c>
      <c r="B21" s="262"/>
      <c r="C21" s="262"/>
      <c r="D21" s="262"/>
      <c r="E21" s="263"/>
      <c r="F21" s="264" t="s">
        <v>190</v>
      </c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6"/>
      <c r="R21" s="111"/>
    </row>
    <row r="22" spans="1:23" ht="28.5" customHeight="1" x14ac:dyDescent="0.25">
      <c r="A22" s="267" t="s">
        <v>167</v>
      </c>
      <c r="B22" s="269" t="s">
        <v>168</v>
      </c>
      <c r="C22" s="258" t="s">
        <v>169</v>
      </c>
      <c r="D22" s="258" t="s">
        <v>170</v>
      </c>
      <c r="E22" s="258" t="s">
        <v>171</v>
      </c>
      <c r="F22" s="272" t="s">
        <v>172</v>
      </c>
      <c r="G22" s="272"/>
      <c r="H22" s="272"/>
      <c r="I22" s="285" t="s">
        <v>173</v>
      </c>
      <c r="J22" s="286"/>
      <c r="K22" s="287"/>
      <c r="L22" s="272" t="s">
        <v>174</v>
      </c>
      <c r="M22" s="272"/>
      <c r="N22" s="272"/>
      <c r="O22" s="273" t="s">
        <v>175</v>
      </c>
      <c r="P22" s="273"/>
      <c r="Q22" s="274"/>
      <c r="S22" s="271" t="s">
        <v>176</v>
      </c>
      <c r="T22" s="275"/>
      <c r="U22" s="275"/>
      <c r="V22" s="48" t="s">
        <v>177</v>
      </c>
      <c r="W22" s="48" t="s">
        <v>178</v>
      </c>
    </row>
    <row r="23" spans="1:23" ht="15" customHeight="1" x14ac:dyDescent="0.25">
      <c r="A23" s="268"/>
      <c r="B23" s="270"/>
      <c r="C23" s="271"/>
      <c r="D23" s="271"/>
      <c r="E23" s="271"/>
      <c r="F23" s="113">
        <v>2015</v>
      </c>
      <c r="G23" s="113">
        <v>2016</v>
      </c>
      <c r="H23" s="113">
        <v>2017</v>
      </c>
      <c r="I23" s="113">
        <v>2015</v>
      </c>
      <c r="J23" s="113">
        <v>2016</v>
      </c>
      <c r="K23" s="113">
        <v>2017</v>
      </c>
      <c r="L23" s="113">
        <v>2015</v>
      </c>
      <c r="M23" s="113">
        <v>2016</v>
      </c>
      <c r="N23" s="113">
        <v>2017</v>
      </c>
      <c r="O23" s="113">
        <v>2015</v>
      </c>
      <c r="P23" s="113">
        <v>2016</v>
      </c>
      <c r="Q23" s="115">
        <v>2017</v>
      </c>
      <c r="S23" s="49">
        <v>2015</v>
      </c>
      <c r="T23" s="49">
        <v>2016</v>
      </c>
      <c r="U23" s="49">
        <v>2017</v>
      </c>
      <c r="V23" s="49" t="s">
        <v>179</v>
      </c>
      <c r="W23" s="49">
        <v>2019</v>
      </c>
    </row>
    <row r="24" spans="1:23" s="150" customFormat="1" ht="67.5" customHeight="1" x14ac:dyDescent="0.3">
      <c r="A24" s="247" t="s">
        <v>180</v>
      </c>
      <c r="B24" s="250" t="s">
        <v>181</v>
      </c>
      <c r="C24" s="253" t="s">
        <v>182</v>
      </c>
      <c r="D24" s="256" t="s">
        <v>183</v>
      </c>
      <c r="E24" s="116" t="s">
        <v>184</v>
      </c>
      <c r="F24" s="117">
        <v>18959</v>
      </c>
      <c r="G24" s="117">
        <v>9199</v>
      </c>
      <c r="H24" s="117">
        <v>18851</v>
      </c>
      <c r="I24" s="117" t="s">
        <v>227</v>
      </c>
      <c r="J24" s="117" t="s">
        <v>227</v>
      </c>
      <c r="K24" s="117" t="s">
        <v>227</v>
      </c>
      <c r="L24" s="117">
        <v>16316.8431</v>
      </c>
      <c r="M24" s="117">
        <v>8507.0060400000002</v>
      </c>
      <c r="N24" s="117">
        <v>21270.587</v>
      </c>
      <c r="O24" s="117">
        <v>2293.6999999999998</v>
      </c>
      <c r="P24" s="117">
        <v>1097</v>
      </c>
      <c r="Q24" s="117">
        <v>782</v>
      </c>
      <c r="S24" s="52">
        <f>IF(F24=0,,L24/(F24/1000))</f>
        <v>860.63838282609845</v>
      </c>
      <c r="T24" s="52">
        <f t="shared" ref="T24:U29" si="4">IF(G24=0,,M24/(G24/1000))</f>
        <v>924.77508859658667</v>
      </c>
      <c r="U24" s="52">
        <f t="shared" si="4"/>
        <v>1128.3532438597422</v>
      </c>
      <c r="V24" s="122">
        <f t="shared" ref="V24:V29" si="5">COUNTIF(S24:U24,"&lt;&gt;0")</f>
        <v>3</v>
      </c>
      <c r="W24" s="52">
        <f>(S24*([1]ИЦП!$B$94/100)*([1]ИЦП!$C$94/100)+T24*[1]ИЦП!$C$94/100+U24)/V24*([1]ИЦП!$D$94/100)*([1]ИЦП!$E$94/100)*1000</f>
        <v>1127286.5489001696</v>
      </c>
    </row>
    <row r="25" spans="1:23" s="150" customFormat="1" ht="67.5" customHeight="1" x14ac:dyDescent="0.3">
      <c r="A25" s="248"/>
      <c r="B25" s="251"/>
      <c r="C25" s="254"/>
      <c r="D25" s="257"/>
      <c r="E25" s="116" t="s">
        <v>191</v>
      </c>
      <c r="F25" s="117">
        <v>2235</v>
      </c>
      <c r="G25" s="117">
        <v>5155</v>
      </c>
      <c r="H25" s="117">
        <v>1542</v>
      </c>
      <c r="I25" s="117" t="s">
        <v>228</v>
      </c>
      <c r="J25" s="117" t="s">
        <v>228</v>
      </c>
      <c r="K25" s="117" t="s">
        <v>228</v>
      </c>
      <c r="L25" s="117">
        <v>2769.2193900000002</v>
      </c>
      <c r="M25" s="117">
        <v>4224.4756099999995</v>
      </c>
      <c r="N25" s="117">
        <v>1527.03421</v>
      </c>
      <c r="O25" s="117">
        <v>445</v>
      </c>
      <c r="P25" s="117">
        <v>707</v>
      </c>
      <c r="Q25" s="117">
        <v>65</v>
      </c>
      <c r="S25" s="52">
        <f t="shared" ref="S25:S29" si="6">IF(F25=0,,L25/(F25/1000))</f>
        <v>1239.0243355704699</v>
      </c>
      <c r="T25" s="52">
        <f t="shared" si="4"/>
        <v>819.49090397672148</v>
      </c>
      <c r="U25" s="52">
        <f t="shared" si="4"/>
        <v>990.29455901426718</v>
      </c>
      <c r="V25" s="122">
        <f t="shared" si="5"/>
        <v>3</v>
      </c>
      <c r="W25" s="52">
        <f>(S25*([1]ИЦП!$B$94/100)*([1]ИЦП!$C$94/100)+T25*[1]ИЦП!$C$94/100+U25)/V25*([1]ИЦП!$D$94/100)*([1]ИЦП!$E$94/100)*1000</f>
        <v>1190961.4825638284</v>
      </c>
    </row>
    <row r="26" spans="1:23" s="150" customFormat="1" ht="78.75" customHeight="1" thickBot="1" x14ac:dyDescent="0.35">
      <c r="A26" s="248"/>
      <c r="B26" s="251"/>
      <c r="C26" s="254"/>
      <c r="D26" s="151" t="s">
        <v>192</v>
      </c>
      <c r="E26" s="116" t="s">
        <v>184</v>
      </c>
      <c r="F26" s="125"/>
      <c r="G26" s="125"/>
      <c r="H26" s="125">
        <v>840</v>
      </c>
      <c r="I26" s="125" t="s">
        <v>227</v>
      </c>
      <c r="J26" s="125" t="s">
        <v>227</v>
      </c>
      <c r="K26" s="125" t="s">
        <v>227</v>
      </c>
      <c r="L26" s="125"/>
      <c r="M26" s="125"/>
      <c r="N26" s="125">
        <v>1183.7180000000001</v>
      </c>
      <c r="O26" s="125"/>
      <c r="P26" s="125"/>
      <c r="Q26" s="125">
        <v>10</v>
      </c>
      <c r="S26" s="52">
        <f t="shared" si="6"/>
        <v>0</v>
      </c>
      <c r="T26" s="52">
        <f t="shared" si="4"/>
        <v>0</v>
      </c>
      <c r="U26" s="52">
        <f t="shared" si="4"/>
        <v>1409.1880952380955</v>
      </c>
      <c r="V26" s="122">
        <f t="shared" si="5"/>
        <v>1</v>
      </c>
      <c r="W26" s="52">
        <f>(S26*([1]ИЦП!$B$94/100)*([1]ИЦП!$C$94/100)+T26*[1]ИЦП!$C$94/100+U26)/V26*([1]ИЦП!$D$94/100)*([1]ИЦП!$E$94/100)*1000</f>
        <v>1549160.8656519176</v>
      </c>
    </row>
    <row r="27" spans="1:23" s="153" customFormat="1" ht="63.75" customHeight="1" x14ac:dyDescent="0.3">
      <c r="A27" s="283" t="s">
        <v>188</v>
      </c>
      <c r="B27" s="283" t="s">
        <v>181</v>
      </c>
      <c r="C27" s="283" t="s">
        <v>182</v>
      </c>
      <c r="D27" s="282" t="s">
        <v>183</v>
      </c>
      <c r="E27" s="128" t="s">
        <v>184</v>
      </c>
      <c r="F27" s="152">
        <v>53053.950000000004</v>
      </c>
      <c r="G27" s="152">
        <v>87771</v>
      </c>
      <c r="H27" s="152">
        <v>65394</v>
      </c>
      <c r="I27" s="152" t="s">
        <v>229</v>
      </c>
      <c r="J27" s="152" t="s">
        <v>229</v>
      </c>
      <c r="K27" s="152" t="s">
        <v>229</v>
      </c>
      <c r="L27" s="152">
        <v>39522.419729999994</v>
      </c>
      <c r="M27" s="152">
        <v>63617.576220000003</v>
      </c>
      <c r="N27" s="152">
        <v>69442.802660000001</v>
      </c>
      <c r="O27" s="152">
        <v>4463.6000000000004</v>
      </c>
      <c r="P27" s="152">
        <v>5921.5</v>
      </c>
      <c r="Q27" s="152">
        <v>2535.5</v>
      </c>
      <c r="S27" s="52">
        <f t="shared" si="6"/>
        <v>744.94773207272954</v>
      </c>
      <c r="T27" s="52">
        <f t="shared" si="4"/>
        <v>724.81316402912125</v>
      </c>
      <c r="U27" s="52">
        <f t="shared" si="4"/>
        <v>1061.9139777349603</v>
      </c>
      <c r="V27" s="122">
        <f t="shared" si="5"/>
        <v>3</v>
      </c>
      <c r="W27" s="52">
        <f>(S27*([1]ИЦП!$B$94/100)*([1]ИЦП!$C$94/100)+T27*[1]ИЦП!$C$94/100+U27)/V27*([1]ИЦП!$D$94/100)*([1]ИЦП!$E$94/100)*1000</f>
        <v>977492.91121437214</v>
      </c>
    </row>
    <row r="28" spans="1:23" s="153" customFormat="1" ht="63.75" customHeight="1" x14ac:dyDescent="0.3">
      <c r="A28" s="254"/>
      <c r="B28" s="254"/>
      <c r="C28" s="254"/>
      <c r="D28" s="271"/>
      <c r="E28" s="116" t="s">
        <v>185</v>
      </c>
      <c r="F28" s="117">
        <v>45708</v>
      </c>
      <c r="G28" s="117">
        <v>43807</v>
      </c>
      <c r="H28" s="117">
        <v>31285</v>
      </c>
      <c r="I28" s="117" t="s">
        <v>230</v>
      </c>
      <c r="J28" s="117" t="s">
        <v>230</v>
      </c>
      <c r="K28" s="117" t="s">
        <v>230</v>
      </c>
      <c r="L28" s="117">
        <v>42232.489429999994</v>
      </c>
      <c r="M28" s="117">
        <v>39421.19187000001</v>
      </c>
      <c r="N28" s="117">
        <v>26744.368999999999</v>
      </c>
      <c r="O28" s="117">
        <v>2608.5</v>
      </c>
      <c r="P28" s="117">
        <v>4200.5</v>
      </c>
      <c r="Q28" s="117">
        <v>725</v>
      </c>
      <c r="S28" s="52">
        <f t="shared" si="6"/>
        <v>923.96275115953438</v>
      </c>
      <c r="T28" s="52">
        <f t="shared" si="4"/>
        <v>899.88339466295361</v>
      </c>
      <c r="U28" s="52">
        <f t="shared" si="4"/>
        <v>854.86236215438703</v>
      </c>
      <c r="V28" s="122">
        <f t="shared" si="5"/>
        <v>3</v>
      </c>
      <c r="W28" s="52">
        <f>(S28*([1]ИЦП!$B$94/100)*([1]ИЦП!$C$94/100)+T28*[1]ИЦП!$C$94/100+U28)/V28*([1]ИЦП!$D$94/100)*([1]ИЦП!$E$94/100)*1000</f>
        <v>1043355.3677878734</v>
      </c>
    </row>
    <row r="29" spans="1:23" s="150" customFormat="1" ht="78.75" customHeight="1" x14ac:dyDescent="0.3">
      <c r="A29" s="284"/>
      <c r="B29" s="284"/>
      <c r="C29" s="284"/>
      <c r="D29" s="48" t="s">
        <v>192</v>
      </c>
      <c r="E29" s="116" t="s">
        <v>184</v>
      </c>
      <c r="F29" s="125"/>
      <c r="G29" s="125"/>
      <c r="H29" s="125">
        <v>3535</v>
      </c>
      <c r="I29" s="125" t="s">
        <v>229</v>
      </c>
      <c r="J29" s="125" t="s">
        <v>229</v>
      </c>
      <c r="K29" s="125" t="s">
        <v>229</v>
      </c>
      <c r="L29" s="125"/>
      <c r="M29" s="125"/>
      <c r="N29" s="125">
        <v>3873.1329999999998</v>
      </c>
      <c r="O29" s="125"/>
      <c r="P29" s="125"/>
      <c r="Q29" s="125">
        <v>40</v>
      </c>
      <c r="S29" s="52">
        <f t="shared" si="6"/>
        <v>0</v>
      </c>
      <c r="T29" s="52">
        <f t="shared" si="4"/>
        <v>0</v>
      </c>
      <c r="U29" s="52">
        <f t="shared" si="4"/>
        <v>1095.6528995756717</v>
      </c>
      <c r="V29" s="122">
        <f t="shared" si="5"/>
        <v>1</v>
      </c>
      <c r="W29" s="52">
        <f>(S29*([1]ИЦП!$B$94/100)*([1]ИЦП!$C$94/100)+T29*[1]ИЦП!$C$94/100+U29)/V29*([1]ИЦП!$D$94/100)*([1]ИЦП!$E$94/100)*1000</f>
        <v>1204482.6379787852</v>
      </c>
    </row>
    <row r="30" spans="1:23" x14ac:dyDescent="0.25">
      <c r="S30" s="155"/>
      <c r="T30" s="155"/>
      <c r="U30" s="155"/>
      <c r="V30" s="156"/>
      <c r="W30" s="155"/>
    </row>
    <row r="31" spans="1:23" s="157" customFormat="1" ht="15.75" hidden="1" outlineLevel="1" x14ac:dyDescent="0.25">
      <c r="E31" s="143" t="s">
        <v>189</v>
      </c>
      <c r="F31" s="144">
        <f t="shared" ref="F31:G31" si="7">F24+F25+F26+F27+F28+F29</f>
        <v>119955.95000000001</v>
      </c>
      <c r="G31" s="144">
        <f t="shared" si="7"/>
        <v>145932</v>
      </c>
      <c r="H31" s="144">
        <f>H24+H25+H26+H27+H28+H29</f>
        <v>121447</v>
      </c>
      <c r="I31" s="144" t="e">
        <f t="shared" ref="I31:Q31" si="8">I24+I25+I26+I27+I28+I29</f>
        <v>#VALUE!</v>
      </c>
      <c r="J31" s="144" t="e">
        <f t="shared" si="8"/>
        <v>#VALUE!</v>
      </c>
      <c r="K31" s="144" t="e">
        <f t="shared" si="8"/>
        <v>#VALUE!</v>
      </c>
      <c r="L31" s="144">
        <f t="shared" si="8"/>
        <v>100840.97164999999</v>
      </c>
      <c r="M31" s="144">
        <f t="shared" si="8"/>
        <v>115770.24974000001</v>
      </c>
      <c r="N31" s="144">
        <f t="shared" si="8"/>
        <v>124041.64387</v>
      </c>
      <c r="O31" s="144">
        <f t="shared" si="8"/>
        <v>9810.7999999999993</v>
      </c>
      <c r="P31" s="144">
        <f t="shared" si="8"/>
        <v>11926</v>
      </c>
      <c r="Q31" s="144">
        <f t="shared" si="8"/>
        <v>4157.5</v>
      </c>
    </row>
    <row r="32" spans="1:23" collapsed="1" x14ac:dyDescent="0.25"/>
    <row r="34" spans="6:17" x14ac:dyDescent="0.25"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</row>
    <row r="35" spans="6:17" x14ac:dyDescent="0.25"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</row>
    <row r="36" spans="6:17" x14ac:dyDescent="0.25"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</row>
    <row r="37" spans="6:17" x14ac:dyDescent="0.25"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</row>
    <row r="38" spans="6:17" x14ac:dyDescent="0.25"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</row>
    <row r="39" spans="6:17" x14ac:dyDescent="0.25"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6:17" x14ac:dyDescent="0.25"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</row>
    <row r="41" spans="6:17" x14ac:dyDescent="0.25">
      <c r="F41" s="158"/>
      <c r="G41" s="158"/>
      <c r="H41" s="158"/>
      <c r="I41" s="158"/>
      <c r="J41" s="158"/>
      <c r="K41" s="158"/>
      <c r="L41" s="158"/>
      <c r="M41" s="158"/>
      <c r="N41" s="112"/>
      <c r="O41" s="158"/>
      <c r="P41" s="158"/>
    </row>
  </sheetData>
  <mergeCells count="42">
    <mergeCell ref="A27:A29"/>
    <mergeCell ref="B27:B29"/>
    <mergeCell ref="C27:C29"/>
    <mergeCell ref="D27:D28"/>
    <mergeCell ref="I22:K22"/>
    <mergeCell ref="L22:N22"/>
    <mergeCell ref="O22:Q22"/>
    <mergeCell ref="S22:U22"/>
    <mergeCell ref="A24:A26"/>
    <mergeCell ref="B24:B26"/>
    <mergeCell ref="C24:C26"/>
    <mergeCell ref="D24:D25"/>
    <mergeCell ref="A22:A23"/>
    <mergeCell ref="B22:B23"/>
    <mergeCell ref="C22:C23"/>
    <mergeCell ref="D22:D23"/>
    <mergeCell ref="E22:E23"/>
    <mergeCell ref="F22:H22"/>
    <mergeCell ref="A12:A14"/>
    <mergeCell ref="B12:B14"/>
    <mergeCell ref="C12:C14"/>
    <mergeCell ref="D12:D13"/>
    <mergeCell ref="A21:E21"/>
    <mergeCell ref="F21:Q21"/>
    <mergeCell ref="I6:K6"/>
    <mergeCell ref="L6:N6"/>
    <mergeCell ref="O6:Q6"/>
    <mergeCell ref="S6:U6"/>
    <mergeCell ref="A8:A11"/>
    <mergeCell ref="B8:B11"/>
    <mergeCell ref="C8:C11"/>
    <mergeCell ref="D8:D10"/>
    <mergeCell ref="A1:Q1"/>
    <mergeCell ref="A3:Q3"/>
    <mergeCell ref="A5:E5"/>
    <mergeCell ref="F5:Q5"/>
    <mergeCell ref="A6:A7"/>
    <mergeCell ref="B6:B7"/>
    <mergeCell ref="C6:C7"/>
    <mergeCell ref="D6:D7"/>
    <mergeCell ref="E6:E7"/>
    <mergeCell ref="F6:H6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6</vt:i4>
      </vt:variant>
    </vt:vector>
  </HeadingPairs>
  <TitlesOfParts>
    <vt:vector size="17" baseType="lpstr">
      <vt:lpstr>прил 2 Титул</vt:lpstr>
      <vt:lpstr>5</vt:lpstr>
      <vt:lpstr>6</vt:lpstr>
      <vt:lpstr>7</vt:lpstr>
      <vt:lpstr>8</vt:lpstr>
      <vt:lpstr>9</vt:lpstr>
      <vt:lpstr>С1 (Прил2)</vt:lpstr>
      <vt:lpstr>С1 (Прил3)</vt:lpstr>
      <vt:lpstr>С2 (ВЛ)</vt:lpstr>
      <vt:lpstr>С3 (КЛ)</vt:lpstr>
      <vt:lpstr>С5 (ТП)</vt:lpstr>
      <vt:lpstr>'5'!Область_печати</vt:lpstr>
      <vt:lpstr>'6'!Область_печати</vt:lpstr>
      <vt:lpstr>'С1 (Прил2)'!Область_печати</vt:lpstr>
      <vt:lpstr>'С2 (ВЛ)'!Область_печати</vt:lpstr>
      <vt:lpstr>'С3 (КЛ)'!Область_печати</vt:lpstr>
      <vt:lpstr>'С5 (ТП)'!Область_печати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Гордиенко Ольга Александровна</dc:creator>
  <cp:lastModifiedBy>Макарова Елена</cp:lastModifiedBy>
  <cp:lastPrinted>2017-10-19T03:45:54Z</cp:lastPrinted>
  <dcterms:created xsi:type="dcterms:W3CDTF">2015-09-23T01:16:39Z</dcterms:created>
  <dcterms:modified xsi:type="dcterms:W3CDTF">2018-10-05T07:36:15Z</dcterms:modified>
</cp:coreProperties>
</file>