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ischur_vn\Desktop\Текущая работа\2021 год\ГПР-2021 для утверждения\Утвержденные ГПР-2021 для размещения на внешнем сайте\"/>
    </mc:Choice>
  </mc:AlternateContent>
  <bookViews>
    <workbookView xWindow="-15" yWindow="-15" windowWidth="12600" windowHeight="7635"/>
  </bookViews>
  <sheets>
    <sheet name="ГПР - 2021" sheetId="2" r:id="rId1"/>
    <sheet name="справочник " sheetId="3" state="hidden" r:id="rId2"/>
    <sheet name="ГПР - 2020 (2)"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'ГПР - 2021'!$A$6:$DZ$163</definedName>
    <definedName name="Z_0943F56E_2267_4333_AC70_CA4FAC995AA9_.wvu.Cols" localSheetId="0" hidden="1">'ГПР - 2021'!$A:$B</definedName>
    <definedName name="Z_0943F56E_2267_4333_AC70_CA4FAC995AA9_.wvu.PrintArea" localSheetId="2" hidden="1">'ГПР - 2020 (2)'!$A$1:$Z$1325</definedName>
    <definedName name="Z_0943F56E_2267_4333_AC70_CA4FAC995AA9_.wvu.PrintArea" localSheetId="0" hidden="1">'ГПР - 2021'!$A$1:$N$1183</definedName>
    <definedName name="Z_0943F56E_2267_4333_AC70_CA4FAC995AA9_.wvu.Rows" localSheetId="2" hidden="1">'ГПР - 2020 (2)'!$18:$27,'ГПР - 2020 (2)'!$29:$35,'ГПР - 2020 (2)'!$37:$44,'ГПР - 2020 (2)'!$46:$50,'ГПР - 2020 (2)'!$59:$71,'ГПР - 2020 (2)'!$73:$84,'ГПР - 2020 (2)'!$86:$89,'ГПР - 2020 (2)'!$91:$94,'ГПР - 2020 (2)'!$96:$109,'ГПР - 2020 (2)'!$115:$125,'ГПР - 2020 (2)'!$127:$135,'ГПР - 2020 (2)'!$137:$142,'ГПР - 2020 (2)'!$144:$148,'ГПР - 2020 (2)'!$150:$154,'ГПР - 2020 (2)'!$156:$160,'ГПР - 2020 (2)'!$162:$167,'ГПР - 2020 (2)'!$169:$175,'ГПР - 2020 (2)'!$177:$180,'ГПР - 2020 (2)'!$182:$190,'ГПР - 2020 (2)'!$192:$196,'ГПР - 2020 (2)'!$198:$206,'ГПР - 2020 (2)'!$208:$216,'ГПР - 2020 (2)'!$218:$226,'ГПР - 2020 (2)'!$228:$236,'ГПР - 2020 (2)'!$238:$246,'ГПР - 2020 (2)'!$248:$256,'ГПР - 2020 (2)'!$258:$266,'ГПР - 2020 (2)'!$268:$276,'ГПР - 2020 (2)'!$280:$288,'ГПР - 2020 (2)'!$290:$294,'ГПР - 2020 (2)'!$296:$304,'ГПР - 2020 (2)'!$306:$314,'ГПР - 2020 (2)'!$316:$324,'ГПР - 2020 (2)'!$326:$334,'ГПР - 2020 (2)'!$336:$344,'ГПР - 2020 (2)'!$346:$354,'ГПР - 2020 (2)'!$356:$364,'ГПР - 2020 (2)'!$366:$374,'ГПР - 2020 (2)'!$376:$384,'ГПР - 2020 (2)'!$386:$394,'ГПР - 2020 (2)'!$396:$404,'ГПР - 2020 (2)'!$408:$416,'ГПР - 2020 (2)'!$418:$426,'ГПР - 2020 (2)'!$428:$436,'ГПР - 2020 (2)'!$438:$446,'ГПР - 2020 (2)'!$448:$456,'ГПР - 2020 (2)'!$458:$466,'ГПР - 2020 (2)'!$468:$476,'ГПР - 2020 (2)'!$478:$486,'ГПР - 2020 (2)'!$488:$496,'ГПР - 2020 (2)'!$498:$506,'ГПР - 2020 (2)'!$508:$516,'ГПР - 2020 (2)'!$520:$528,'ГПР - 2020 (2)'!$530:$538,'ГПР - 2020 (2)'!$540:$548,'ГПР - 2020 (2)'!$550:$558,'ГПР - 2020 (2)'!$560:$568,'ГПР - 2020 (2)'!$570:$578,'ГПР - 2020 (2)'!$580:$588,'ГПР - 2020 (2)'!$590:$598,'ГПР - 2020 (2)'!$600:$608,'ГПР - 2020 (2)'!$615:$631,'ГПР - 2020 (2)'!$633:$649,'ГПР - 2020 (2)'!$651:$667,'ГПР - 2020 (2)'!$669:$685,'ГПР - 2020 (2)'!$687:$703,'ГПР - 2020 (2)'!$705:$721,'ГПР - 2020 (2)'!$723:$739,'ГПР - 2020 (2)'!$741:$757,'ГПР - 2020 (2)'!$759:$775,'ГПР - 2020 (2)'!$777:$793,'ГПР - 2020 (2)'!$795:$811,'ГПР - 2020 (2)'!$813:$829,'ГПР - 2020 (2)'!$831:$847,'ГПР - 2020 (2)'!$849:$865,'ГПР - 2020 (2)'!$867:$883,'ГПР - 2020 (2)'!$885:$901,'ГПР - 2020 (2)'!$903:$919,'ГПР - 2020 (2)'!$921:$937,'ГПР - 2020 (2)'!$939:$955,'ГПР - 2020 (2)'!$957:$973,'ГПР - 2020 (2)'!$975:$991,'ГПР - 2020 (2)'!$993:$1009,'ГПР - 2020 (2)'!$1011:$1027,'ГПР - 2020 (2)'!$1029:$1045,'ГПР - 2020 (2)'!$1047:$1063,'ГПР - 2020 (2)'!$1065:$1081,'ГПР - 2020 (2)'!$1085:$1093,'ГПР - 2020 (2)'!$1095:$1103,'ГПР - 2020 (2)'!$1105:$1113,'ГПР - 2020 (2)'!$1115:$1123,'ГПР - 2020 (2)'!$1125:$1133,'ГПР - 2020 (2)'!$1135:$1143,'ГПР - 2020 (2)'!$1145:$1153,'ГПР - 2020 (2)'!$1155:$1163,'ГПР - 2020 (2)'!$1165:$1173,'ГПР - 2020 (2)'!$1176:$1184,'ГПР - 2020 (2)'!$1186:$1194,'ГПР - 2020 (2)'!$1196:$1204,'ГПР - 2020 (2)'!$1206:$1214,'ГПР - 2020 (2)'!$1216:$1224,'ГПР - 2020 (2)'!$1226:$1234,'ГПР - 2020 (2)'!$1260:$1268,'ГПР - 2020 (2)'!$1270:$1278,'ГПР - 2020 (2)'!$1281:$1289,'ГПР - 2020 (2)'!$1291:$1299,'ГПР - 2020 (2)'!$1301:$1309,'ГПР - 2020 (2)'!$1311:$1314</definedName>
    <definedName name="Z_103D0739_74D4_44CF_8BCC_DE0EC66E5E9B_.wvu.FilterData" localSheetId="0" hidden="1">'ГПР - 2021'!$A$8:$N$2730</definedName>
    <definedName name="Z_42DFB948_3AAE_4BC8_BE98_38DFC75BEBB9_.wvu.Cols" localSheetId="0" hidden="1">'ГПР - 2021'!#REF!,'ГПР - 2021'!#REF!,'ГПР - 2021'!#REF!</definedName>
    <definedName name="Z_42DFB948_3AAE_4BC8_BE98_38DFC75BEBB9_.wvu.FilterData" localSheetId="0" hidden="1">'ГПР - 2021'!$A$8:$N$2730</definedName>
    <definedName name="Z_42DFB948_3AAE_4BC8_BE98_38DFC75BEBB9_.wvu.PrintArea" localSheetId="2" hidden="1">'ГПР - 2020 (2)'!$A$1:$Z$1325</definedName>
    <definedName name="Z_42DFB948_3AAE_4BC8_BE98_38DFC75BEBB9_.wvu.PrintArea" localSheetId="0" hidden="1">'ГПР - 2021'!$A$1:$N$1183</definedName>
    <definedName name="Z_42DFB948_3AAE_4BC8_BE98_38DFC75BEBB9_.wvu.Rows" localSheetId="2" hidden="1">'ГПР - 2020 (2)'!$18:$27,'ГПР - 2020 (2)'!$29:$35,'ГПР - 2020 (2)'!$37:$44,'ГПР - 2020 (2)'!$46:$50,'ГПР - 2020 (2)'!$59:$71,'ГПР - 2020 (2)'!$73:$84,'ГПР - 2020 (2)'!$86:$89,'ГПР - 2020 (2)'!$91:$94,'ГПР - 2020 (2)'!$96:$109,'ГПР - 2020 (2)'!$115:$125,'ГПР - 2020 (2)'!$127:$135,'ГПР - 2020 (2)'!$137:$142,'ГПР - 2020 (2)'!$144:$148,'ГПР - 2020 (2)'!$150:$154,'ГПР - 2020 (2)'!$156:$160,'ГПР - 2020 (2)'!$162:$167,'ГПР - 2020 (2)'!$169:$175,'ГПР - 2020 (2)'!$177:$180,'ГПР - 2020 (2)'!$182:$190,'ГПР - 2020 (2)'!$192:$196,'ГПР - 2020 (2)'!$198:$206,'ГПР - 2020 (2)'!$208:$216,'ГПР - 2020 (2)'!$218:$226,'ГПР - 2020 (2)'!$228:$236,'ГПР - 2020 (2)'!$238:$246,'ГПР - 2020 (2)'!$248:$256,'ГПР - 2020 (2)'!$258:$266,'ГПР - 2020 (2)'!$268:$276,'ГПР - 2020 (2)'!$280:$288,'ГПР - 2020 (2)'!$290:$294,'ГПР - 2020 (2)'!$296:$304,'ГПР - 2020 (2)'!$306:$314,'ГПР - 2020 (2)'!$316:$324,'ГПР - 2020 (2)'!$326:$334,'ГПР - 2020 (2)'!$336:$344,'ГПР - 2020 (2)'!$346:$354,'ГПР - 2020 (2)'!$356:$364,'ГПР - 2020 (2)'!$366:$374,'ГПР - 2020 (2)'!$376:$384,'ГПР - 2020 (2)'!$386:$394,'ГПР - 2020 (2)'!$396:$404,'ГПР - 2020 (2)'!$408:$416,'ГПР - 2020 (2)'!$418:$426,'ГПР - 2020 (2)'!$428:$436,'ГПР - 2020 (2)'!$438:$446,'ГПР - 2020 (2)'!$448:$456,'ГПР - 2020 (2)'!$458:$466,'ГПР - 2020 (2)'!$468:$476,'ГПР - 2020 (2)'!$478:$486,'ГПР - 2020 (2)'!$488:$496,'ГПР - 2020 (2)'!$498:$506,'ГПР - 2020 (2)'!$508:$516,'ГПР - 2020 (2)'!$520:$528,'ГПР - 2020 (2)'!$530:$538,'ГПР - 2020 (2)'!$540:$548,'ГПР - 2020 (2)'!$550:$558,'ГПР - 2020 (2)'!$560:$568,'ГПР - 2020 (2)'!$570:$578,'ГПР - 2020 (2)'!$580:$588,'ГПР - 2020 (2)'!$590:$598,'ГПР - 2020 (2)'!$600:$608,'ГПР - 2020 (2)'!$615:$631,'ГПР - 2020 (2)'!$633:$649,'ГПР - 2020 (2)'!$651:$667,'ГПР - 2020 (2)'!$669:$685,'ГПР - 2020 (2)'!$687:$703,'ГПР - 2020 (2)'!$705:$721,'ГПР - 2020 (2)'!$723:$739,'ГПР - 2020 (2)'!$741:$757,'ГПР - 2020 (2)'!$759:$775,'ГПР - 2020 (2)'!$777:$793,'ГПР - 2020 (2)'!$795:$811,'ГПР - 2020 (2)'!$813:$829,'ГПР - 2020 (2)'!$831:$847,'ГПР - 2020 (2)'!$849:$865,'ГПР - 2020 (2)'!$867:$883,'ГПР - 2020 (2)'!$885:$901,'ГПР - 2020 (2)'!$903:$919,'ГПР - 2020 (2)'!$921:$937,'ГПР - 2020 (2)'!$939:$955,'ГПР - 2020 (2)'!$957:$973,'ГПР - 2020 (2)'!$975:$991,'ГПР - 2020 (2)'!$993:$1009,'ГПР - 2020 (2)'!$1011:$1027,'ГПР - 2020 (2)'!$1029:$1045,'ГПР - 2020 (2)'!$1047:$1063,'ГПР - 2020 (2)'!$1065:$1081,'ГПР - 2020 (2)'!$1085:$1093,'ГПР - 2020 (2)'!$1095:$1103,'ГПР - 2020 (2)'!$1105:$1113,'ГПР - 2020 (2)'!$1115:$1123,'ГПР - 2020 (2)'!$1125:$1133,'ГПР - 2020 (2)'!$1135:$1143,'ГПР - 2020 (2)'!$1145:$1153,'ГПР - 2020 (2)'!$1155:$1163,'ГПР - 2020 (2)'!$1165:$1173,'ГПР - 2020 (2)'!$1176:$1184,'ГПР - 2020 (2)'!$1186:$1194,'ГПР - 2020 (2)'!$1196:$1204,'ГПР - 2020 (2)'!$1206:$1214,'ГПР - 2020 (2)'!$1216:$1224,'ГПР - 2020 (2)'!$1226:$1234,'ГПР - 2020 (2)'!$1260:$1268,'ГПР - 2020 (2)'!$1270:$1278,'ГПР - 2020 (2)'!$1281:$1289,'ГПР - 2020 (2)'!$1291:$1299,'ГПР - 2020 (2)'!$1301:$1309,'ГПР - 2020 (2)'!$1311:$1314</definedName>
    <definedName name="Z_42DFB948_3AAE_4BC8_BE98_38DFC75BEBB9_.wvu.Rows" localSheetId="0" hidden="1">'ГПР - 2021'!$1:$3,'ГПР - 2021'!$28:$120,'ГПР - 2021'!$122:$170,'ГПР - 2021'!$172:$394,'ГПР - 2021'!$396:$480,'ГПР - 2021'!$482:$683,'ГПР - 2021'!$685:$841,'ГПР - 2021'!$843:$945,'ГПР - 2021'!$947:$1047,'ГПР - 2021'!$1049:$1147,'ГПР - 2021'!$1149:$1240,'ГПР - 2021'!$1319:$1412,'ГПР - 2021'!$1414:$1532,'ГПР - 2021'!$1534:$1770,'ГПР - 2021'!$1772:$2009,'ГПР - 2021'!$2011:$2147,'ГПР - 2021'!$2149:$2268,'ГПР - 2021'!$2270:$2506,'ГПР - 2021'!$2508:$2593,'ГПР - 2021'!$2596:$2676,'ГПР - 2021'!$2678:$2727,'ГПР - 2021'!$2729:$2778,'ГПР - 2021'!$2781:$2830</definedName>
    <definedName name="Z_525B1366_53B2_4685_91D8_A226D4DFD2EE_.wvu.FilterData" localSheetId="0" hidden="1">'ГПР - 2021'!$A$8:$N$2730</definedName>
    <definedName name="Z_61ED9C2E_151C_43AF_B8D0_9E21D2FA6EF3_.wvu.Cols" localSheetId="0" hidden="1">'ГПР - 2021'!#REF!,'ГПР - 2021'!#REF!,'ГПР - 2021'!#REF!</definedName>
    <definedName name="Z_61ED9C2E_151C_43AF_B8D0_9E21D2FA6EF3_.wvu.FilterData" localSheetId="0" hidden="1">'ГПР - 2021'!$A$8:$N$2730</definedName>
    <definedName name="Z_61ED9C2E_151C_43AF_B8D0_9E21D2FA6EF3_.wvu.PrintArea" localSheetId="2" hidden="1">'ГПР - 2020 (2)'!$A$1:$Z$1325</definedName>
    <definedName name="Z_61ED9C2E_151C_43AF_B8D0_9E21D2FA6EF3_.wvu.PrintArea" localSheetId="0" hidden="1">'ГПР - 2021'!$A$1:$N$1183</definedName>
    <definedName name="Z_61ED9C2E_151C_43AF_B8D0_9E21D2FA6EF3_.wvu.Rows" localSheetId="2" hidden="1">'ГПР - 2020 (2)'!$18:$27,'ГПР - 2020 (2)'!$29:$35,'ГПР - 2020 (2)'!$37:$44,'ГПР - 2020 (2)'!$46:$50,'ГПР - 2020 (2)'!$59:$71,'ГПР - 2020 (2)'!$73:$84,'ГПР - 2020 (2)'!$86:$89,'ГПР - 2020 (2)'!$91:$94,'ГПР - 2020 (2)'!$96:$109,'ГПР - 2020 (2)'!$115:$125,'ГПР - 2020 (2)'!$127:$135,'ГПР - 2020 (2)'!$137:$142,'ГПР - 2020 (2)'!$144:$148,'ГПР - 2020 (2)'!$150:$154,'ГПР - 2020 (2)'!$156:$160,'ГПР - 2020 (2)'!$162:$167,'ГПР - 2020 (2)'!$169:$175,'ГПР - 2020 (2)'!$177:$180,'ГПР - 2020 (2)'!$182:$190,'ГПР - 2020 (2)'!$192:$196,'ГПР - 2020 (2)'!$198:$206,'ГПР - 2020 (2)'!$208:$216,'ГПР - 2020 (2)'!$218:$226,'ГПР - 2020 (2)'!$228:$236,'ГПР - 2020 (2)'!$238:$246,'ГПР - 2020 (2)'!$248:$256,'ГПР - 2020 (2)'!$258:$266,'ГПР - 2020 (2)'!$268:$276,'ГПР - 2020 (2)'!$280:$288,'ГПР - 2020 (2)'!$290:$294,'ГПР - 2020 (2)'!$296:$304,'ГПР - 2020 (2)'!$306:$314,'ГПР - 2020 (2)'!$316:$324,'ГПР - 2020 (2)'!$326:$334,'ГПР - 2020 (2)'!$336:$344,'ГПР - 2020 (2)'!$346:$354,'ГПР - 2020 (2)'!$356:$364,'ГПР - 2020 (2)'!$366:$374,'ГПР - 2020 (2)'!$376:$384,'ГПР - 2020 (2)'!$386:$394,'ГПР - 2020 (2)'!$396:$404,'ГПР - 2020 (2)'!$408:$416,'ГПР - 2020 (2)'!$418:$426,'ГПР - 2020 (2)'!$428:$436,'ГПР - 2020 (2)'!$438:$446,'ГПР - 2020 (2)'!$448:$456,'ГПР - 2020 (2)'!$458:$466,'ГПР - 2020 (2)'!$468:$476,'ГПР - 2020 (2)'!$478:$486,'ГПР - 2020 (2)'!$488:$496,'ГПР - 2020 (2)'!$498:$506,'ГПР - 2020 (2)'!$508:$516,'ГПР - 2020 (2)'!$520:$528,'ГПР - 2020 (2)'!$530:$538,'ГПР - 2020 (2)'!$540:$548,'ГПР - 2020 (2)'!$550:$558,'ГПР - 2020 (2)'!$560:$568,'ГПР - 2020 (2)'!$570:$578,'ГПР - 2020 (2)'!$580:$588,'ГПР - 2020 (2)'!$590:$598,'ГПР - 2020 (2)'!$600:$608,'ГПР - 2020 (2)'!$615:$631,'ГПР - 2020 (2)'!$633:$649,'ГПР - 2020 (2)'!$651:$667,'ГПР - 2020 (2)'!$669:$685,'ГПР - 2020 (2)'!$687:$703,'ГПР - 2020 (2)'!$705:$721,'ГПР - 2020 (2)'!$723:$739,'ГПР - 2020 (2)'!$741:$757,'ГПР - 2020 (2)'!$759:$775,'ГПР - 2020 (2)'!$777:$793,'ГПР - 2020 (2)'!$795:$811,'ГПР - 2020 (2)'!$813:$829,'ГПР - 2020 (2)'!$831:$847,'ГПР - 2020 (2)'!$849:$865,'ГПР - 2020 (2)'!$867:$883,'ГПР - 2020 (2)'!$885:$901,'ГПР - 2020 (2)'!$903:$919,'ГПР - 2020 (2)'!$921:$937,'ГПР - 2020 (2)'!$939:$955,'ГПР - 2020 (2)'!$957:$973,'ГПР - 2020 (2)'!$975:$991,'ГПР - 2020 (2)'!$993:$1009,'ГПР - 2020 (2)'!$1011:$1027,'ГПР - 2020 (2)'!$1029:$1045,'ГПР - 2020 (2)'!$1047:$1063,'ГПР - 2020 (2)'!$1065:$1081,'ГПР - 2020 (2)'!$1085:$1093,'ГПР - 2020 (2)'!$1095:$1103,'ГПР - 2020 (2)'!$1105:$1113,'ГПР - 2020 (2)'!$1115:$1123,'ГПР - 2020 (2)'!$1125:$1133,'ГПР - 2020 (2)'!$1135:$1143,'ГПР - 2020 (2)'!$1145:$1153,'ГПР - 2020 (2)'!$1155:$1163,'ГПР - 2020 (2)'!$1165:$1173,'ГПР - 2020 (2)'!$1176:$1184,'ГПР - 2020 (2)'!$1186:$1194,'ГПР - 2020 (2)'!$1196:$1204,'ГПР - 2020 (2)'!$1206:$1214,'ГПР - 2020 (2)'!$1216:$1224,'ГПР - 2020 (2)'!$1226:$1234,'ГПР - 2020 (2)'!$1260:$1268,'ГПР - 2020 (2)'!$1270:$1278,'ГПР - 2020 (2)'!$1281:$1289,'ГПР - 2020 (2)'!$1291:$1299,'ГПР - 2020 (2)'!$1301:$1309,'ГПР - 2020 (2)'!$1311:$1314</definedName>
    <definedName name="Z_61ED9C2E_151C_43AF_B8D0_9E21D2FA6EF3_.wvu.Rows" localSheetId="0" hidden="1">'ГПР - 2021'!$1:$3</definedName>
    <definedName name="Z_9E545ECB_2F53_4740_91A7_F92CB8213445_.wvu.FilterData" localSheetId="0" hidden="1">'ГПР - 2021'!$A$8:$N$2728</definedName>
    <definedName name="Z_A6591927_B6A0_4F29_ACFB_86D4B856E06A_.wvu.PrintArea" localSheetId="2" hidden="1">'ГПР - 2020 (2)'!$A$1:$Z$1325</definedName>
    <definedName name="Z_A6591927_B6A0_4F29_ACFB_86D4B856E06A_.wvu.PrintArea" localSheetId="0" hidden="1">'ГПР - 2021'!$A$1:$N$1183</definedName>
    <definedName name="Z_A6591927_B6A0_4F29_ACFB_86D4B856E06A_.wvu.Rows" localSheetId="2" hidden="1">'ГПР - 2020 (2)'!$18:$27,'ГПР - 2020 (2)'!$29:$35,'ГПР - 2020 (2)'!$37:$44,'ГПР - 2020 (2)'!$46:$50,'ГПР - 2020 (2)'!$59:$71,'ГПР - 2020 (2)'!$73:$84,'ГПР - 2020 (2)'!$86:$89,'ГПР - 2020 (2)'!$91:$94,'ГПР - 2020 (2)'!$96:$109,'ГПР - 2020 (2)'!$115:$125,'ГПР - 2020 (2)'!$127:$135,'ГПР - 2020 (2)'!$137:$142,'ГПР - 2020 (2)'!$144:$148,'ГПР - 2020 (2)'!$150:$154,'ГПР - 2020 (2)'!$156:$160,'ГПР - 2020 (2)'!$162:$167,'ГПР - 2020 (2)'!$169:$175,'ГПР - 2020 (2)'!$177:$180,'ГПР - 2020 (2)'!$182:$190,'ГПР - 2020 (2)'!$192:$196,'ГПР - 2020 (2)'!$198:$206,'ГПР - 2020 (2)'!$208:$216,'ГПР - 2020 (2)'!$218:$226,'ГПР - 2020 (2)'!$228:$236,'ГПР - 2020 (2)'!$238:$246,'ГПР - 2020 (2)'!$248:$256,'ГПР - 2020 (2)'!$258:$266,'ГПР - 2020 (2)'!$268:$276,'ГПР - 2020 (2)'!$280:$288,'ГПР - 2020 (2)'!$290:$294,'ГПР - 2020 (2)'!$296:$304,'ГПР - 2020 (2)'!$306:$314,'ГПР - 2020 (2)'!$316:$324,'ГПР - 2020 (2)'!$326:$334,'ГПР - 2020 (2)'!$336:$344,'ГПР - 2020 (2)'!$346:$354,'ГПР - 2020 (2)'!$356:$364,'ГПР - 2020 (2)'!$366:$374,'ГПР - 2020 (2)'!$376:$384,'ГПР - 2020 (2)'!$386:$394,'ГПР - 2020 (2)'!$396:$404,'ГПР - 2020 (2)'!$408:$416,'ГПР - 2020 (2)'!$418:$426,'ГПР - 2020 (2)'!$428:$436,'ГПР - 2020 (2)'!$438:$446,'ГПР - 2020 (2)'!$448:$456,'ГПР - 2020 (2)'!$458:$466,'ГПР - 2020 (2)'!$468:$476,'ГПР - 2020 (2)'!$478:$486,'ГПР - 2020 (2)'!$488:$496,'ГПР - 2020 (2)'!$498:$506,'ГПР - 2020 (2)'!$508:$516,'ГПР - 2020 (2)'!$520:$528,'ГПР - 2020 (2)'!$530:$538,'ГПР - 2020 (2)'!$540:$548,'ГПР - 2020 (2)'!$550:$558,'ГПР - 2020 (2)'!$560:$568,'ГПР - 2020 (2)'!$570:$578,'ГПР - 2020 (2)'!$580:$588,'ГПР - 2020 (2)'!$590:$598,'ГПР - 2020 (2)'!$600:$608,'ГПР - 2020 (2)'!$615:$631,'ГПР - 2020 (2)'!$633:$649,'ГПР - 2020 (2)'!$651:$667,'ГПР - 2020 (2)'!$669:$685,'ГПР - 2020 (2)'!$687:$703,'ГПР - 2020 (2)'!$705:$721,'ГПР - 2020 (2)'!$723:$739,'ГПР - 2020 (2)'!$741:$757,'ГПР - 2020 (2)'!$759:$775,'ГПР - 2020 (2)'!$777:$793,'ГПР - 2020 (2)'!$795:$811,'ГПР - 2020 (2)'!$813:$829,'ГПР - 2020 (2)'!$831:$847,'ГПР - 2020 (2)'!$849:$865,'ГПР - 2020 (2)'!$867:$883,'ГПР - 2020 (2)'!$885:$901,'ГПР - 2020 (2)'!$903:$919,'ГПР - 2020 (2)'!$921:$937,'ГПР - 2020 (2)'!$939:$955,'ГПР - 2020 (2)'!$957:$973,'ГПР - 2020 (2)'!$975:$991,'ГПР - 2020 (2)'!$993:$1009,'ГПР - 2020 (2)'!$1011:$1027,'ГПР - 2020 (2)'!$1029:$1045,'ГПР - 2020 (2)'!$1047:$1063,'ГПР - 2020 (2)'!$1065:$1081,'ГПР - 2020 (2)'!$1085:$1093,'ГПР - 2020 (2)'!$1095:$1103,'ГПР - 2020 (2)'!$1105:$1113,'ГПР - 2020 (2)'!$1115:$1123,'ГПР - 2020 (2)'!$1125:$1133,'ГПР - 2020 (2)'!$1135:$1143,'ГПР - 2020 (2)'!$1145:$1153,'ГПР - 2020 (2)'!$1155:$1163,'ГПР - 2020 (2)'!$1165:$1173,'ГПР - 2020 (2)'!$1176:$1184,'ГПР - 2020 (2)'!$1186:$1194,'ГПР - 2020 (2)'!$1196:$1204,'ГПР - 2020 (2)'!$1206:$1214,'ГПР - 2020 (2)'!$1216:$1224,'ГПР - 2020 (2)'!$1226:$1234,'ГПР - 2020 (2)'!$1260:$1268,'ГПР - 2020 (2)'!$1270:$1278,'ГПР - 2020 (2)'!$1281:$1289,'ГПР - 2020 (2)'!$1291:$1299,'ГПР - 2020 (2)'!$1301:$1309,'ГПР - 2020 (2)'!$1311:$1314</definedName>
    <definedName name="Z_A6591927_B6A0_4F29_ACFB_86D4B856E06A_.wvu.Rows" localSheetId="0" hidden="1">'ГПР - 2021'!#REF!,'ГПР - 2021'!#REF!,'ГПР - 2021'!#REF!,'ГПР - 2021'!#REF!,'ГПР - 2021'!#REF!,'ГПР - 2021'!#REF!,'ГПР - 2021'!#REF!</definedName>
    <definedName name="Z_B314F9AD_0165_44C3_8C05_1606AD78FE06_.wvu.FilterData" localSheetId="0" hidden="1">'ГПР - 2021'!$A$8:$N$2730</definedName>
    <definedName name="Z_CB05DF4C_FEDB_43E3_82AB_A00D464DEBAB_.wvu.PrintArea" localSheetId="2" hidden="1">'ГПР - 2020 (2)'!$A$2:$Z$1324</definedName>
    <definedName name="Z_CB05DF4C_FEDB_43E3_82AB_A00D464DEBAB_.wvu.PrintArea" localSheetId="0" hidden="1">'ГПР - 2021'!$A$1:$N$1183</definedName>
    <definedName name="Z_CDA93A57_8B77_4063_A58E_A7F135E2E488_.wvu.FilterData" localSheetId="0" hidden="1">'ГПР - 2021'!$A$8:$N$2730</definedName>
    <definedName name="Z_CF369FAB_A7BA_42CC_8A68_B680E1AD6481_.wvu.FilterData" localSheetId="0" hidden="1">'ГПР - 2021'!$A$8:$N$2730</definedName>
    <definedName name="Z_D529A7A1_1933_4765_AA36_44D0FD87D7B1_.wvu.PrintArea" localSheetId="2" hidden="1">'ГПР - 2020 (2)'!$A$1:$Z$1325</definedName>
    <definedName name="Z_D529A7A1_1933_4765_AA36_44D0FD87D7B1_.wvu.PrintArea" localSheetId="0" hidden="1">'ГПР - 2021'!$A$1:$N$1183</definedName>
    <definedName name="Z_D529A7A1_1933_4765_AA36_44D0FD87D7B1_.wvu.Rows" localSheetId="2" hidden="1">'ГПР - 2020 (2)'!$18:$27,'ГПР - 2020 (2)'!$29:$35,'ГПР - 2020 (2)'!$37:$44,'ГПР - 2020 (2)'!$46:$50,'ГПР - 2020 (2)'!$59:$71,'ГПР - 2020 (2)'!$73:$84,'ГПР - 2020 (2)'!$86:$89,'ГПР - 2020 (2)'!$91:$94,'ГПР - 2020 (2)'!$96:$109,'ГПР - 2020 (2)'!$115:$125,'ГПР - 2020 (2)'!$127:$135,'ГПР - 2020 (2)'!$137:$142,'ГПР - 2020 (2)'!$144:$148,'ГПР - 2020 (2)'!$150:$154,'ГПР - 2020 (2)'!$156:$160,'ГПР - 2020 (2)'!$162:$167,'ГПР - 2020 (2)'!$169:$175,'ГПР - 2020 (2)'!$177:$180,'ГПР - 2020 (2)'!$182:$190,'ГПР - 2020 (2)'!$192:$196,'ГПР - 2020 (2)'!$198:$206,'ГПР - 2020 (2)'!$208:$216,'ГПР - 2020 (2)'!$218:$226,'ГПР - 2020 (2)'!$228:$236,'ГПР - 2020 (2)'!$238:$246,'ГПР - 2020 (2)'!$248:$256,'ГПР - 2020 (2)'!$258:$266,'ГПР - 2020 (2)'!$268:$276,'ГПР - 2020 (2)'!$280:$288,'ГПР - 2020 (2)'!$290:$294,'ГПР - 2020 (2)'!$296:$304,'ГПР - 2020 (2)'!$306:$314,'ГПР - 2020 (2)'!$316:$324,'ГПР - 2020 (2)'!$326:$334,'ГПР - 2020 (2)'!$336:$344,'ГПР - 2020 (2)'!$346:$354,'ГПР - 2020 (2)'!$356:$364,'ГПР - 2020 (2)'!$366:$374,'ГПР - 2020 (2)'!$376:$384,'ГПР - 2020 (2)'!$386:$394,'ГПР - 2020 (2)'!$396:$404,'ГПР - 2020 (2)'!$408:$416,'ГПР - 2020 (2)'!$418:$426,'ГПР - 2020 (2)'!$428:$436,'ГПР - 2020 (2)'!$438:$446,'ГПР - 2020 (2)'!$448:$456,'ГПР - 2020 (2)'!$458:$466,'ГПР - 2020 (2)'!$468:$476,'ГПР - 2020 (2)'!$478:$486,'ГПР - 2020 (2)'!$488:$496,'ГПР - 2020 (2)'!$498:$506,'ГПР - 2020 (2)'!$508:$516,'ГПР - 2020 (2)'!$520:$528,'ГПР - 2020 (2)'!$530:$538,'ГПР - 2020 (2)'!$540:$548,'ГПР - 2020 (2)'!$550:$558,'ГПР - 2020 (2)'!$560:$568,'ГПР - 2020 (2)'!$570:$578,'ГПР - 2020 (2)'!$580:$588,'ГПР - 2020 (2)'!$590:$598,'ГПР - 2020 (2)'!$600:$608,'ГПР - 2020 (2)'!$615:$631,'ГПР - 2020 (2)'!$633:$649,'ГПР - 2020 (2)'!$651:$667,'ГПР - 2020 (2)'!$669:$685,'ГПР - 2020 (2)'!$687:$703,'ГПР - 2020 (2)'!$705:$721,'ГПР - 2020 (2)'!$723:$739,'ГПР - 2020 (2)'!$741:$757,'ГПР - 2020 (2)'!$759:$775,'ГПР - 2020 (2)'!$777:$793,'ГПР - 2020 (2)'!$795:$811,'ГПР - 2020 (2)'!$813:$829,'ГПР - 2020 (2)'!$831:$847,'ГПР - 2020 (2)'!$849:$865,'ГПР - 2020 (2)'!$867:$883,'ГПР - 2020 (2)'!$885:$901,'ГПР - 2020 (2)'!$903:$919,'ГПР - 2020 (2)'!$921:$937,'ГПР - 2020 (2)'!$939:$955,'ГПР - 2020 (2)'!$957:$973,'ГПР - 2020 (2)'!$975:$991,'ГПР - 2020 (2)'!$993:$1009,'ГПР - 2020 (2)'!$1011:$1027,'ГПР - 2020 (2)'!$1029:$1045,'ГПР - 2020 (2)'!$1047:$1063,'ГПР - 2020 (2)'!$1065:$1081,'ГПР - 2020 (2)'!$1085:$1093,'ГПР - 2020 (2)'!$1095:$1103,'ГПР - 2020 (2)'!$1105:$1113,'ГПР - 2020 (2)'!$1115:$1123,'ГПР - 2020 (2)'!$1125:$1133,'ГПР - 2020 (2)'!$1135:$1143,'ГПР - 2020 (2)'!$1145:$1153,'ГПР - 2020 (2)'!$1155:$1163,'ГПР - 2020 (2)'!$1165:$1173,'ГПР - 2020 (2)'!$1176:$1184,'ГПР - 2020 (2)'!$1186:$1194,'ГПР - 2020 (2)'!$1196:$1204,'ГПР - 2020 (2)'!$1206:$1214,'ГПР - 2020 (2)'!$1216:$1224,'ГПР - 2020 (2)'!$1226:$1234,'ГПР - 2020 (2)'!$1260:$1268,'ГПР - 2020 (2)'!$1270:$1278,'ГПР - 2020 (2)'!$1281:$1289,'ГПР - 2020 (2)'!$1291:$1299,'ГПР - 2020 (2)'!$1301:$1309,'ГПР - 2020 (2)'!$1311:$1314</definedName>
    <definedName name="Z_D529A7A1_1933_4765_AA36_44D0FD87D7B1_.wvu.Rows" localSheetId="0" hidden="1">'ГПР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- 2021'!$38:$70,'ГПР - 2021'!$102:$113,'ГПР - 2021'!#REF!,'ГПР - 2021'!#REF!,'ГПР - 2021'!#REF!,'ГПР - 2021'!#REF!,'ГПР - 2021'!#REF!,'ГПР - 2021'!#REF!,'ГПР - 2021'!#REF!,'ГПР - 2021'!#REF!,'ГПР - 2021'!#REF!,'ГПР - 2021'!#REF!,'ГПР - 2021'!#REF!,'ГПР - 2021'!#REF!,'ГПР - 2021'!#REF!,'ГПР - 2021'!#REF!,'ГПР - 2021'!#REF!,'ГПР - 2021'!$124:$129,'ГПР - 2021'!$158:$160,'ГПР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- 2021'!$471:$471,'ГПР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definedName>
    <definedName name="Z_D9E74CF5_B41B_4B47_9E59_F86450B63E7A_.wvu.PrintArea" localSheetId="2" hidden="1">'ГПР - 2020 (2)'!$A$1:$Z$1325</definedName>
    <definedName name="Z_D9E74CF5_B41B_4B47_9E59_F86450B63E7A_.wvu.PrintArea" localSheetId="0" hidden="1">'ГПР - 2021'!$A$1:$N$1183</definedName>
    <definedName name="Z_D9E74CF5_B41B_4B47_9E59_F86450B63E7A_.wvu.Rows" localSheetId="2" hidden="1">'ГПР - 2020 (2)'!$18:$27,'ГПР - 2020 (2)'!$29:$35,'ГПР - 2020 (2)'!$37:$44,'ГПР - 2020 (2)'!$46:$50,'ГПР - 2020 (2)'!$59:$71,'ГПР - 2020 (2)'!$73:$84,'ГПР - 2020 (2)'!$86:$89,'ГПР - 2020 (2)'!$91:$94,'ГПР - 2020 (2)'!$96:$109,'ГПР - 2020 (2)'!$115:$125,'ГПР - 2020 (2)'!$127:$135,'ГПР - 2020 (2)'!$137:$142,'ГПР - 2020 (2)'!$144:$148,'ГПР - 2020 (2)'!$150:$154,'ГПР - 2020 (2)'!$156:$160,'ГПР - 2020 (2)'!$162:$167,'ГПР - 2020 (2)'!$169:$175,'ГПР - 2020 (2)'!$177:$180,'ГПР - 2020 (2)'!$182:$190,'ГПР - 2020 (2)'!$192:$196,'ГПР - 2020 (2)'!$198:$206,'ГПР - 2020 (2)'!$208:$216,'ГПР - 2020 (2)'!$218:$226,'ГПР - 2020 (2)'!$228:$236,'ГПР - 2020 (2)'!$238:$246,'ГПР - 2020 (2)'!$248:$256,'ГПР - 2020 (2)'!$258:$266,'ГПР - 2020 (2)'!$268:$276,'ГПР - 2020 (2)'!$280:$288,'ГПР - 2020 (2)'!$290:$294,'ГПР - 2020 (2)'!$296:$304,'ГПР - 2020 (2)'!$306:$314,'ГПР - 2020 (2)'!$316:$324,'ГПР - 2020 (2)'!$326:$334,'ГПР - 2020 (2)'!$336:$344,'ГПР - 2020 (2)'!$346:$354,'ГПР - 2020 (2)'!$356:$364,'ГПР - 2020 (2)'!$366:$374,'ГПР - 2020 (2)'!$376:$384,'ГПР - 2020 (2)'!$386:$394,'ГПР - 2020 (2)'!$396:$404,'ГПР - 2020 (2)'!$408:$416,'ГПР - 2020 (2)'!$418:$426,'ГПР - 2020 (2)'!$428:$436,'ГПР - 2020 (2)'!$438:$446,'ГПР - 2020 (2)'!$448:$456,'ГПР - 2020 (2)'!$458:$466,'ГПР - 2020 (2)'!$468:$476,'ГПР - 2020 (2)'!$478:$486,'ГПР - 2020 (2)'!$488:$496,'ГПР - 2020 (2)'!$498:$506,'ГПР - 2020 (2)'!$508:$516,'ГПР - 2020 (2)'!$520:$528,'ГПР - 2020 (2)'!$530:$538,'ГПР - 2020 (2)'!$540:$548,'ГПР - 2020 (2)'!$550:$558,'ГПР - 2020 (2)'!$560:$568,'ГПР - 2020 (2)'!$570:$578,'ГПР - 2020 (2)'!$580:$588,'ГПР - 2020 (2)'!$590:$598,'ГПР - 2020 (2)'!$600:$608,'ГПР - 2020 (2)'!$615:$631,'ГПР - 2020 (2)'!$633:$649,'ГПР - 2020 (2)'!$651:$667,'ГПР - 2020 (2)'!$669:$685,'ГПР - 2020 (2)'!$687:$703,'ГПР - 2020 (2)'!$705:$721,'ГПР - 2020 (2)'!$723:$739,'ГПР - 2020 (2)'!$741:$757,'ГПР - 2020 (2)'!$759:$775,'ГПР - 2020 (2)'!$777:$793,'ГПР - 2020 (2)'!$795:$811,'ГПР - 2020 (2)'!$813:$829,'ГПР - 2020 (2)'!$831:$847,'ГПР - 2020 (2)'!$849:$865,'ГПР - 2020 (2)'!$867:$883,'ГПР - 2020 (2)'!$885:$901,'ГПР - 2020 (2)'!$903:$919,'ГПР - 2020 (2)'!$921:$937,'ГПР - 2020 (2)'!$939:$955,'ГПР - 2020 (2)'!$957:$973,'ГПР - 2020 (2)'!$975:$991,'ГПР - 2020 (2)'!$993:$1009,'ГПР - 2020 (2)'!$1011:$1027,'ГПР - 2020 (2)'!$1029:$1045,'ГПР - 2020 (2)'!$1047:$1063,'ГПР - 2020 (2)'!$1065:$1081,'ГПР - 2020 (2)'!$1085:$1093,'ГПР - 2020 (2)'!$1095:$1103,'ГПР - 2020 (2)'!$1105:$1113,'ГПР - 2020 (2)'!$1115:$1123,'ГПР - 2020 (2)'!$1125:$1133,'ГПР - 2020 (2)'!$1135:$1143,'ГПР - 2020 (2)'!$1145:$1153,'ГПР - 2020 (2)'!$1155:$1163,'ГПР - 2020 (2)'!$1165:$1173,'ГПР - 2020 (2)'!$1176:$1184,'ГПР - 2020 (2)'!$1186:$1194,'ГПР - 2020 (2)'!$1196:$1204,'ГПР - 2020 (2)'!$1206:$1214,'ГПР - 2020 (2)'!$1216:$1224,'ГПР - 2020 (2)'!$1226:$1234,'ГПР - 2020 (2)'!$1260:$1268,'ГПР - 2020 (2)'!$1270:$1278,'ГПР - 2020 (2)'!$1281:$1289,'ГПР - 2020 (2)'!$1291:$1299,'ГПР - 2020 (2)'!$1301:$1309,'ГПР - 2020 (2)'!$1311:$1314</definedName>
    <definedName name="Z_F387C196_EB8F_4F17_8A3D_CFA67F3B2FD1_.wvu.PrintArea" localSheetId="2" hidden="1">'ГПР - 2020 (2)'!$A$1:$Z$1325</definedName>
    <definedName name="Z_F387C196_EB8F_4F17_8A3D_CFA67F3B2FD1_.wvu.PrintArea" localSheetId="0" hidden="1">'ГПР - 2021'!$A$1:$N$1183</definedName>
    <definedName name="Z_F387C196_EB8F_4F17_8A3D_CFA67F3B2FD1_.wvu.Rows" localSheetId="2" hidden="1">'ГПР - 2020 (2)'!$18:$27,'ГПР - 2020 (2)'!$29:$35,'ГПР - 2020 (2)'!$37:$44,'ГПР - 2020 (2)'!$46:$50,'ГПР - 2020 (2)'!$59:$71,'ГПР - 2020 (2)'!$73:$84,'ГПР - 2020 (2)'!$86:$89,'ГПР - 2020 (2)'!$91:$94,'ГПР - 2020 (2)'!$96:$109,'ГПР - 2020 (2)'!$115:$125,'ГПР - 2020 (2)'!$127:$135,'ГПР - 2020 (2)'!$137:$142,'ГПР - 2020 (2)'!$144:$148,'ГПР - 2020 (2)'!$150:$154,'ГПР - 2020 (2)'!$156:$160,'ГПР - 2020 (2)'!$162:$167,'ГПР - 2020 (2)'!$169:$175,'ГПР - 2020 (2)'!$177:$180,'ГПР - 2020 (2)'!$182:$190,'ГПР - 2020 (2)'!$192:$196,'ГПР - 2020 (2)'!$198:$206,'ГПР - 2020 (2)'!$208:$216,'ГПР - 2020 (2)'!$218:$226,'ГПР - 2020 (2)'!$228:$236,'ГПР - 2020 (2)'!$238:$246,'ГПР - 2020 (2)'!$248:$256,'ГПР - 2020 (2)'!$258:$266,'ГПР - 2020 (2)'!$268:$276,'ГПР - 2020 (2)'!$280:$288,'ГПР - 2020 (2)'!$290:$294,'ГПР - 2020 (2)'!$296:$304,'ГПР - 2020 (2)'!$306:$314,'ГПР - 2020 (2)'!$316:$324,'ГПР - 2020 (2)'!$326:$334,'ГПР - 2020 (2)'!$336:$344,'ГПР - 2020 (2)'!$346:$354,'ГПР - 2020 (2)'!$356:$364,'ГПР - 2020 (2)'!$366:$374,'ГПР - 2020 (2)'!$376:$384,'ГПР - 2020 (2)'!$386:$394,'ГПР - 2020 (2)'!$396:$404,'ГПР - 2020 (2)'!$408:$416,'ГПР - 2020 (2)'!$418:$426,'ГПР - 2020 (2)'!$428:$436,'ГПР - 2020 (2)'!$438:$446,'ГПР - 2020 (2)'!$448:$456,'ГПР - 2020 (2)'!$458:$466,'ГПР - 2020 (2)'!$468:$476,'ГПР - 2020 (2)'!$478:$486,'ГПР - 2020 (2)'!$488:$496,'ГПР - 2020 (2)'!$498:$506,'ГПР - 2020 (2)'!$508:$516,'ГПР - 2020 (2)'!$520:$528,'ГПР - 2020 (2)'!$530:$538,'ГПР - 2020 (2)'!$540:$548,'ГПР - 2020 (2)'!$550:$558,'ГПР - 2020 (2)'!$560:$568,'ГПР - 2020 (2)'!$570:$578,'ГПР - 2020 (2)'!$580:$588,'ГПР - 2020 (2)'!$590:$598,'ГПР - 2020 (2)'!$600:$608,'ГПР - 2020 (2)'!$615:$631,'ГПР - 2020 (2)'!$633:$649,'ГПР - 2020 (2)'!$651:$667,'ГПР - 2020 (2)'!$669:$685,'ГПР - 2020 (2)'!$687:$703,'ГПР - 2020 (2)'!$705:$721,'ГПР - 2020 (2)'!$723:$739,'ГПР - 2020 (2)'!$741:$757,'ГПР - 2020 (2)'!$759:$775,'ГПР - 2020 (2)'!$777:$793,'ГПР - 2020 (2)'!$795:$811,'ГПР - 2020 (2)'!$813:$829,'ГПР - 2020 (2)'!$831:$847,'ГПР - 2020 (2)'!$849:$865,'ГПР - 2020 (2)'!$867:$883,'ГПР - 2020 (2)'!$885:$901,'ГПР - 2020 (2)'!$903:$919,'ГПР - 2020 (2)'!$921:$937,'ГПР - 2020 (2)'!$939:$955,'ГПР - 2020 (2)'!$957:$973,'ГПР - 2020 (2)'!$975:$991,'ГПР - 2020 (2)'!$993:$1009,'ГПР - 2020 (2)'!$1011:$1027,'ГПР - 2020 (2)'!$1029:$1045,'ГПР - 2020 (2)'!$1047:$1063,'ГПР - 2020 (2)'!$1065:$1081,'ГПР - 2020 (2)'!$1085:$1093,'ГПР - 2020 (2)'!$1095:$1103,'ГПР - 2020 (2)'!$1105:$1113,'ГПР - 2020 (2)'!$1115:$1123,'ГПР - 2020 (2)'!$1125:$1133,'ГПР - 2020 (2)'!$1135:$1143,'ГПР - 2020 (2)'!$1145:$1153,'ГПР - 2020 (2)'!$1155:$1163,'ГПР - 2020 (2)'!$1165:$1173,'ГПР - 2020 (2)'!$1176:$1184,'ГПР - 2020 (2)'!$1186:$1194,'ГПР - 2020 (2)'!$1196:$1204,'ГПР - 2020 (2)'!$1206:$1214,'ГПР - 2020 (2)'!$1216:$1224,'ГПР - 2020 (2)'!$1226:$1234,'ГПР - 2020 (2)'!$1260:$1268,'ГПР - 2020 (2)'!$1270:$1278,'ГПР - 2020 (2)'!$1281:$1289,'ГПР - 2020 (2)'!$1291:$1299,'ГПР - 2020 (2)'!$1301:$1309,'ГПР - 2020 (2)'!$1311:$1314</definedName>
    <definedName name="Z_FFFD5CED_6355_4863_B6CC_F0827B83CCA3_.wvu.FilterData" localSheetId="0" hidden="1">'ГПР - 2021'!$A$8:$N$2730</definedName>
    <definedName name="_xlnm.Print_Titles" localSheetId="0">'ГПР - 2021'!$4:$6</definedName>
    <definedName name="_xlnm.Print_Area" localSheetId="2">'ГПР - 2020 (2)'!$A$1:$Z$1325</definedName>
    <definedName name="_xlnm.Print_Area" localSheetId="0">'ГПР - 2021'!$A$1:$N$2831</definedName>
  </definedNames>
  <calcPr calcId="162913"/>
  <customWorkbookViews>
    <customWorkbookView name="Пользователь Windows - Личное представление" guid="{61ED9C2E-151C-43AF-B8D0-9E21D2FA6EF3}" mergeInterval="0" personalView="1" maximized="1" xWindow="-8" yWindow="-8" windowWidth="1936" windowHeight="1056" activeSheetId="2"/>
    <customWorkbookView name="Хомичук Александр Александрович - Личное представление" guid="{42DFB948-3AAE-4BC8-BE98-38DFC75BEBB9}" mergeInterval="0" personalView="1" maximized="1" xWindow="-8" yWindow="-8" windowWidth="1696" windowHeight="1026" activeSheetId="2"/>
    <customWorkbookView name="Дидык Илья Сергеевич - Личное представление" guid="{A6591927-B6A0-4F29-ACFB-86D4B856E06A}" mergeInterval="0" personalView="1" maximized="1" xWindow="-8" yWindow="-8" windowWidth="1936" windowHeight="1056" activeSheetId="2"/>
    <customWorkbookView name="Аушев Игорь Юрьевич - Личное представление" guid="{D9E74CF5-B41B-4B47-9E59-F86450B63E7A}" mergeInterval="0" personalView="1" maximized="1" windowWidth="1916" windowHeight="895" activeSheetId="2" showComments="commIndAndComment"/>
    <customWorkbookView name="Кашкарова Валентина Николаевна - Личное представление" guid="{D529A7A1-1933-4765-AA36-44D0FD87D7B1}" mergeInterval="0" personalView="1" maximized="1" windowWidth="1916" windowHeight="807" activeSheetId="2"/>
    <customWorkbookView name="Михайлова Анна Александровна - Личное представление" guid="{CB05DF4C-FEDB-43E3-82AB-A00D464DEBAB}" mergeInterval="0" personalView="1" maximized="1" windowWidth="1916" windowHeight="855" activeSheetId="2"/>
    <customWorkbookView name="Кузнецова Юлия Викторовна - Личное представление" guid="{0943F56E-2267-4333-AC70-CA4FAC995AA9}" mergeInterval="0" personalView="1" maximized="1" xWindow="-9" yWindow="-9" windowWidth="1938" windowHeight="1048" activeSheetId="2"/>
    <customWorkbookView name="Гриневич Мария Евгеньевна - Личное представление" guid="{F387C196-EB8F-4F17-8A3D-CFA67F3B2FD1}" mergeInterval="0" personalView="1" minimized="1" windowWidth="0" windowHeight="0" activeSheetId="2"/>
  </customWorkbookViews>
</workbook>
</file>

<file path=xl/calcChain.xml><?xml version="1.0" encoding="utf-8"?>
<calcChain xmlns="http://schemas.openxmlformats.org/spreadsheetml/2006/main">
  <c r="N48" i="2" l="1"/>
  <c r="N47" i="2"/>
  <c r="I328" i="2" l="1"/>
  <c r="I321" i="2"/>
  <c r="I191" i="2"/>
  <c r="I206" i="2" l="1"/>
  <c r="I184" i="2"/>
  <c r="I177" i="2"/>
  <c r="I374" i="2" l="1"/>
  <c r="I371" i="2"/>
  <c r="I361" i="2"/>
  <c r="I356" i="2"/>
  <c r="N311" i="2"/>
  <c r="N114" i="2" l="1"/>
  <c r="I1288" i="2" l="1"/>
  <c r="I366" i="2"/>
  <c r="I348" i="2"/>
  <c r="I2794" i="2" l="1"/>
  <c r="I2823" i="2" l="1"/>
  <c r="I2824" i="2"/>
  <c r="I2828" i="2"/>
  <c r="I2829" i="2"/>
  <c r="I2822" i="2"/>
  <c r="I2788" i="2"/>
  <c r="I2789" i="2"/>
  <c r="I2790" i="2"/>
  <c r="I2791" i="2"/>
  <c r="I2795" i="2"/>
  <c r="I2796" i="2"/>
  <c r="I2804" i="2"/>
  <c r="I2805" i="2"/>
  <c r="I2806" i="2"/>
  <c r="I1278" i="2"/>
  <c r="I2793" i="2" s="1"/>
  <c r="I1277" i="2"/>
  <c r="I2792" i="2" s="1"/>
  <c r="I2803" i="2" l="1"/>
  <c r="I737" i="2" l="1"/>
  <c r="I1312" i="2" l="1"/>
  <c r="I2827" i="2" s="1"/>
  <c r="I1311" i="2"/>
  <c r="I2826" i="2" s="1"/>
  <c r="I1310" i="2"/>
  <c r="I2825" i="2" s="1"/>
  <c r="I1287" i="2"/>
  <c r="I1285" i="2"/>
  <c r="I1256" i="2"/>
  <c r="I1254" i="2"/>
  <c r="I1252" i="2"/>
  <c r="I1250" i="2"/>
  <c r="I1248" i="2"/>
  <c r="I1246" i="2"/>
  <c r="I1244" i="2"/>
  <c r="I1242" i="2"/>
  <c r="I1240" i="2"/>
  <c r="I1238" i="2"/>
  <c r="I1236" i="2"/>
  <c r="I1234" i="2"/>
  <c r="I1232" i="2"/>
  <c r="I1230" i="2"/>
  <c r="I1228" i="2"/>
  <c r="I1226" i="2"/>
  <c r="I1224" i="2"/>
  <c r="I1222" i="2"/>
  <c r="I1220" i="2"/>
  <c r="I1218" i="2"/>
  <c r="I1216" i="2"/>
  <c r="I1214" i="2"/>
  <c r="I1212" i="2"/>
  <c r="I1210" i="2"/>
  <c r="I1208" i="2"/>
  <c r="I1206" i="2"/>
  <c r="I1204" i="2"/>
  <c r="I1202" i="2"/>
  <c r="I1200" i="2"/>
  <c r="I1198" i="2"/>
  <c r="I1196" i="2"/>
  <c r="I1194" i="2"/>
  <c r="I1192" i="2"/>
  <c r="I1190" i="2"/>
  <c r="I1188" i="2"/>
  <c r="I1186" i="2"/>
  <c r="I1184" i="2"/>
  <c r="I1182" i="2"/>
  <c r="I1180" i="2"/>
  <c r="I1178" i="2"/>
  <c r="I1176" i="2"/>
  <c r="I1174" i="2"/>
  <c r="I1172" i="2"/>
  <c r="I1170" i="2"/>
  <c r="I1161" i="2"/>
  <c r="I1167" i="2"/>
  <c r="I1165" i="2"/>
  <c r="N1127" i="2"/>
  <c r="N1109" i="2"/>
  <c r="I1084" i="2"/>
  <c r="I1082" i="2"/>
  <c r="I1078" i="2"/>
  <c r="I1075" i="2"/>
  <c r="I1072" i="2"/>
  <c r="I1070" i="2"/>
  <c r="I1067" i="2"/>
  <c r="I1065" i="2"/>
  <c r="I1058" i="2"/>
  <c r="I1054" i="2"/>
  <c r="I1043" i="2"/>
  <c r="I1034" i="2"/>
  <c r="I1028" i="2"/>
  <c r="I1025" i="2"/>
  <c r="I1023" i="2"/>
  <c r="I1019" i="2"/>
  <c r="I1017" i="2"/>
  <c r="I1015" i="2"/>
  <c r="I1010" i="2"/>
  <c r="I1008" i="2"/>
  <c r="I1005" i="2"/>
  <c r="I998" i="2"/>
  <c r="I992" i="2"/>
  <c r="I989" i="2"/>
  <c r="I985" i="2"/>
  <c r="I982" i="2"/>
  <c r="I976" i="2"/>
  <c r="I973" i="2"/>
  <c r="I966" i="2"/>
  <c r="I964" i="2"/>
  <c r="I962" i="2"/>
  <c r="I958" i="2"/>
  <c r="I954" i="2"/>
  <c r="I950" i="2"/>
  <c r="I946" i="2"/>
  <c r="I942" i="2"/>
  <c r="I938" i="2"/>
  <c r="I934" i="2"/>
  <c r="I930" i="2"/>
  <c r="I926" i="2"/>
  <c r="I922" i="2"/>
  <c r="I918" i="2"/>
  <c r="I914" i="2"/>
  <c r="I910" i="2"/>
  <c r="I906" i="2"/>
  <c r="I904" i="2"/>
  <c r="I901" i="2"/>
  <c r="I899" i="2"/>
  <c r="I896" i="2"/>
  <c r="I893" i="2"/>
  <c r="I890" i="2"/>
  <c r="I887" i="2"/>
  <c r="I884" i="2"/>
  <c r="I880" i="2"/>
  <c r="I876" i="2"/>
  <c r="I872" i="2"/>
  <c r="I868" i="2"/>
  <c r="I864" i="2"/>
  <c r="I860" i="2"/>
  <c r="I856" i="2"/>
  <c r="I851" i="2"/>
  <c r="I845" i="2"/>
  <c r="I842" i="2"/>
  <c r="I840" i="2"/>
  <c r="I834" i="2"/>
  <c r="I829" i="2"/>
  <c r="I826" i="2"/>
  <c r="I822" i="2"/>
  <c r="I819" i="2"/>
  <c r="I816" i="2"/>
  <c r="I811" i="2"/>
  <c r="I807" i="2"/>
  <c r="I802" i="2"/>
  <c r="I800" i="2"/>
  <c r="I796" i="2"/>
  <c r="I793" i="2"/>
  <c r="I791" i="2"/>
  <c r="I788" i="2"/>
  <c r="I786" i="2"/>
  <c r="I784" i="2"/>
  <c r="I782" i="2"/>
  <c r="I777" i="2"/>
  <c r="I772" i="2"/>
  <c r="I770" i="2"/>
  <c r="I767" i="2"/>
  <c r="I765" i="2"/>
  <c r="I763" i="2"/>
  <c r="I760" i="2"/>
  <c r="I758" i="2"/>
  <c r="I755" i="2"/>
  <c r="I753" i="2"/>
  <c r="I750" i="2"/>
  <c r="I748" i="2"/>
  <c r="I746" i="2"/>
  <c r="I744" i="2"/>
  <c r="I741" i="2"/>
  <c r="I733" i="2"/>
  <c r="I731" i="2"/>
  <c r="I729" i="2"/>
  <c r="I727" i="2"/>
  <c r="I724" i="2"/>
  <c r="I721" i="2"/>
  <c r="I718" i="2"/>
  <c r="I715" i="2"/>
  <c r="I713" i="2"/>
  <c r="I711" i="2"/>
  <c r="I709" i="2"/>
  <c r="I707" i="2"/>
  <c r="I705" i="2"/>
  <c r="I703" i="2"/>
  <c r="I701" i="2"/>
  <c r="I697" i="2"/>
  <c r="I688" i="2"/>
  <c r="I681" i="2"/>
  <c r="I676" i="2"/>
  <c r="I671" i="2"/>
  <c r="I666" i="2"/>
  <c r="I662" i="2"/>
  <c r="I659" i="2"/>
  <c r="I650" i="2"/>
  <c r="I646" i="2"/>
  <c r="I643" i="2"/>
  <c r="I640" i="2"/>
  <c r="I638" i="2"/>
  <c r="I634" i="2"/>
  <c r="I628" i="2"/>
  <c r="I623" i="2"/>
  <c r="I620" i="2"/>
  <c r="I617" i="2"/>
  <c r="I613" i="2"/>
  <c r="I611" i="2"/>
  <c r="I603" i="2"/>
  <c r="I592" i="2"/>
  <c r="I587" i="2"/>
  <c r="I581" i="2"/>
  <c r="I574" i="2"/>
  <c r="I568" i="2"/>
  <c r="I565" i="2"/>
  <c r="I563" i="2"/>
  <c r="I561" i="2"/>
  <c r="I559" i="2"/>
  <c r="I557" i="2"/>
  <c r="I554" i="2"/>
  <c r="I551" i="2"/>
  <c r="I549" i="2"/>
  <c r="I547" i="2"/>
  <c r="I545" i="2"/>
  <c r="I539" i="2"/>
  <c r="I537" i="2"/>
  <c r="I534" i="2"/>
  <c r="I531" i="2"/>
  <c r="I527" i="2"/>
  <c r="I524" i="2"/>
  <c r="I521" i="2"/>
  <c r="I518" i="2"/>
  <c r="I514" i="2"/>
  <c r="I510" i="2"/>
  <c r="I505" i="2"/>
  <c r="I503" i="2"/>
  <c r="I501" i="2"/>
  <c r="I499" i="2"/>
  <c r="I497" i="2"/>
  <c r="I493" i="2"/>
  <c r="N488" i="2"/>
  <c r="N487" i="2"/>
  <c r="N486" i="2"/>
  <c r="N485" i="2"/>
  <c r="N483" i="2"/>
  <c r="N482" i="2"/>
  <c r="N481" i="2"/>
  <c r="N480" i="2"/>
  <c r="N479" i="2"/>
  <c r="N477" i="2"/>
  <c r="N473" i="2"/>
  <c r="N472" i="2"/>
  <c r="N470" i="2"/>
  <c r="N469" i="2"/>
  <c r="N464" i="2"/>
  <c r="N463" i="2"/>
  <c r="N462" i="2"/>
  <c r="N461" i="2"/>
  <c r="N460" i="2"/>
  <c r="N459" i="2"/>
  <c r="I446" i="2"/>
  <c r="I440" i="2"/>
  <c r="I433" i="2"/>
  <c r="I427" i="2"/>
  <c r="I421" i="2"/>
  <c r="I416" i="2"/>
  <c r="I410" i="2"/>
  <c r="D408" i="2"/>
  <c r="D409" i="2" s="1"/>
  <c r="C408" i="2"/>
  <c r="C409" i="2" s="1"/>
  <c r="B408" i="2"/>
  <c r="B409" i="2" s="1"/>
  <c r="I407" i="2"/>
  <c r="I1272" i="2"/>
  <c r="I403" i="2"/>
  <c r="I400" i="2"/>
  <c r="I396" i="2"/>
  <c r="I392" i="2"/>
  <c r="I388" i="2"/>
  <c r="I385" i="2"/>
  <c r="I382" i="2"/>
  <c r="I379" i="2"/>
  <c r="I345" i="2"/>
  <c r="I338" i="2"/>
  <c r="I333" i="2"/>
  <c r="I326" i="2"/>
  <c r="I318" i="2"/>
  <c r="N317" i="2"/>
  <c r="N315" i="2"/>
  <c r="N313" i="2"/>
  <c r="I304" i="2"/>
  <c r="I302" i="2"/>
  <c r="I300" i="2"/>
  <c r="N298" i="2"/>
  <c r="C288" i="2"/>
  <c r="C287" i="2"/>
  <c r="C285" i="2"/>
  <c r="C286" i="2" s="1"/>
  <c r="C289" i="2" s="1"/>
  <c r="I284" i="2"/>
  <c r="I280" i="2"/>
  <c r="I277" i="2"/>
  <c r="I274" i="2"/>
  <c r="I270" i="2"/>
  <c r="I267" i="2"/>
  <c r="I265" i="2"/>
  <c r="I262" i="2"/>
  <c r="I260" i="2"/>
  <c r="I258" i="2"/>
  <c r="I255" i="2"/>
  <c r="I253" i="2"/>
  <c r="C249" i="2"/>
  <c r="C250" i="2" s="1"/>
  <c r="I248" i="2"/>
  <c r="C244" i="2"/>
  <c r="C245" i="2" s="1"/>
  <c r="I243" i="2"/>
  <c r="I241" i="2"/>
  <c r="I239" i="2"/>
  <c r="I237" i="2"/>
  <c r="I233" i="2"/>
  <c r="I230" i="2"/>
  <c r="I228" i="2"/>
  <c r="I226" i="2"/>
  <c r="I222" i="2"/>
  <c r="I219" i="2"/>
  <c r="I216" i="2"/>
  <c r="I214" i="2"/>
  <c r="I212" i="2"/>
  <c r="I210" i="2"/>
  <c r="I204" i="2"/>
  <c r="I200" i="2"/>
  <c r="I196" i="2"/>
  <c r="I194" i="2"/>
  <c r="I171" i="2"/>
  <c r="I168" i="2"/>
  <c r="I166" i="2"/>
  <c r="I160" i="2"/>
  <c r="I158" i="2"/>
  <c r="N155" i="2"/>
  <c r="I154" i="2" s="1"/>
  <c r="N151" i="2"/>
  <c r="I150" i="2" s="1"/>
  <c r="N146" i="2"/>
  <c r="I145" i="2" s="1"/>
  <c r="I142" i="2"/>
  <c r="I139" i="2"/>
  <c r="I136" i="2"/>
  <c r="I134" i="2"/>
  <c r="I132" i="2"/>
  <c r="I126" i="2"/>
  <c r="I122" i="2"/>
  <c r="I116" i="2"/>
  <c r="I112" i="2"/>
  <c r="I105" i="2"/>
  <c r="I101" i="2"/>
  <c r="I98" i="2"/>
  <c r="I85" i="2"/>
  <c r="N83" i="2"/>
  <c r="N80" i="2"/>
  <c r="N78" i="2"/>
  <c r="I1284" i="2" s="1"/>
  <c r="I73" i="2"/>
  <c r="I71" i="2"/>
  <c r="N68" i="2"/>
  <c r="I67" i="2" s="1"/>
  <c r="N63" i="2"/>
  <c r="N62" i="2"/>
  <c r="N58" i="2"/>
  <c r="I57" i="2" s="1"/>
  <c r="N54" i="2"/>
  <c r="I53" i="2" s="1"/>
  <c r="I44" i="2"/>
  <c r="I41" i="2"/>
  <c r="I39" i="2"/>
  <c r="I36" i="2"/>
  <c r="I32" i="2"/>
  <c r="I28" i="2"/>
  <c r="I1319" i="2"/>
  <c r="I1323" i="2"/>
  <c r="I1326" i="2"/>
  <c r="I1329" i="2"/>
  <c r="I1332" i="2"/>
  <c r="I1335" i="2"/>
  <c r="I1338" i="2"/>
  <c r="I1340" i="2"/>
  <c r="I1343" i="2"/>
  <c r="I1347" i="2"/>
  <c r="I1351" i="2"/>
  <c r="I1354" i="2"/>
  <c r="I1357" i="2"/>
  <c r="I1360" i="2"/>
  <c r="I1363" i="2"/>
  <c r="I1366" i="2"/>
  <c r="I1380" i="2"/>
  <c r="I1384" i="2"/>
  <c r="I1400" i="2"/>
  <c r="I1404" i="2"/>
  <c r="I1407" i="2"/>
  <c r="I1409" i="2"/>
  <c r="I1414" i="2"/>
  <c r="I1417" i="2"/>
  <c r="N1421" i="2"/>
  <c r="I1420" i="2" s="1"/>
  <c r="I1423" i="2"/>
  <c r="I1426" i="2"/>
  <c r="I1429" i="2"/>
  <c r="I1432" i="2"/>
  <c r="I1435" i="2"/>
  <c r="I1438" i="2"/>
  <c r="I1441" i="2"/>
  <c r="I1445" i="2"/>
  <c r="I1447" i="2"/>
  <c r="I1455" i="2"/>
  <c r="I1457" i="2"/>
  <c r="I1465" i="2"/>
  <c r="I1469" i="2"/>
  <c r="I1473" i="2"/>
  <c r="I1477" i="2"/>
  <c r="I1481" i="2"/>
  <c r="I1485" i="2"/>
  <c r="I1491" i="2"/>
  <c r="I1493" i="2"/>
  <c r="I1495" i="2"/>
  <c r="I1498" i="2"/>
  <c r="I1501" i="2"/>
  <c r="I1504" i="2"/>
  <c r="I1507" i="2"/>
  <c r="I1509" i="2"/>
  <c r="I1512" i="2"/>
  <c r="I1515" i="2"/>
  <c r="I1518" i="2"/>
  <c r="I1521" i="2"/>
  <c r="I1525" i="2"/>
  <c r="I1529" i="2"/>
  <c r="I1531" i="2"/>
  <c r="I1535" i="2"/>
  <c r="I1542" i="2"/>
  <c r="I1548" i="2"/>
  <c r="I1550" i="2"/>
  <c r="I1552" i="2"/>
  <c r="I1554" i="2"/>
  <c r="I1556" i="2"/>
  <c r="I1558" i="2"/>
  <c r="I1560" i="2"/>
  <c r="I1563" i="2"/>
  <c r="I1565" i="2"/>
  <c r="I1570" i="2"/>
  <c r="I1572" i="2"/>
  <c r="I1575" i="2"/>
  <c r="I1578" i="2"/>
  <c r="I1580" i="2"/>
  <c r="I1582" i="2"/>
  <c r="I1585" i="2"/>
  <c r="I1587" i="2"/>
  <c r="I1592" i="2"/>
  <c r="I1594" i="2"/>
  <c r="I1599" i="2"/>
  <c r="I1602" i="2"/>
  <c r="I1606" i="2"/>
  <c r="I1608" i="2"/>
  <c r="I1616" i="2"/>
  <c r="I1620" i="2"/>
  <c r="I1623" i="2"/>
  <c r="I1630" i="2"/>
  <c r="I1633" i="2"/>
  <c r="I1636" i="2"/>
  <c r="I1639" i="2"/>
  <c r="I1644" i="2"/>
  <c r="I1648" i="2"/>
  <c r="I1654" i="2"/>
  <c r="I1656" i="2"/>
  <c r="I1658" i="2"/>
  <c r="I1660" i="2"/>
  <c r="I1663" i="2"/>
  <c r="I1666" i="2"/>
  <c r="I1668" i="2"/>
  <c r="I1670" i="2"/>
  <c r="I1672" i="2"/>
  <c r="I1674" i="2"/>
  <c r="I1676" i="2"/>
  <c r="I1678" i="2"/>
  <c r="I1680" i="2"/>
  <c r="I1682" i="2"/>
  <c r="I1684" i="2"/>
  <c r="I1686" i="2"/>
  <c r="I1688" i="2"/>
  <c r="I1690" i="2"/>
  <c r="I1692" i="2"/>
  <c r="I1694" i="2"/>
  <c r="I1697" i="2"/>
  <c r="I1700" i="2"/>
  <c r="I1703" i="2"/>
  <c r="I1706" i="2"/>
  <c r="I1709" i="2"/>
  <c r="I1714" i="2"/>
  <c r="I1717" i="2"/>
  <c r="I1720" i="2"/>
  <c r="I1723" i="2"/>
  <c r="I1726" i="2"/>
  <c r="I1729" i="2"/>
  <c r="I1732" i="2"/>
  <c r="I1736" i="2"/>
  <c r="I1740" i="2"/>
  <c r="I1744" i="2"/>
  <c r="I1748" i="2"/>
  <c r="I1756" i="2"/>
  <c r="I1759" i="2"/>
  <c r="I1762" i="2"/>
  <c r="I1765" i="2"/>
  <c r="I1772" i="2"/>
  <c r="I1778" i="2"/>
  <c r="I1786" i="2"/>
  <c r="I1794" i="2"/>
  <c r="I1802" i="2"/>
  <c r="I1808" i="2"/>
  <c r="I1813" i="2"/>
  <c r="N1823" i="2"/>
  <c r="I1819" i="2" s="1"/>
  <c r="I1827" i="2"/>
  <c r="I1830" i="2"/>
  <c r="I1833" i="2"/>
  <c r="I1836" i="2"/>
  <c r="I1839" i="2"/>
  <c r="I1843" i="2"/>
  <c r="I1854" i="2"/>
  <c r="I1867" i="2"/>
  <c r="I1880" i="2"/>
  <c r="I1890" i="2"/>
  <c r="I1900" i="2"/>
  <c r="I1910" i="2"/>
  <c r="I1923" i="2"/>
  <c r="I1936" i="2"/>
  <c r="I1946" i="2"/>
  <c r="I1951" i="2"/>
  <c r="I1956" i="2"/>
  <c r="I1961" i="2"/>
  <c r="I1966" i="2"/>
  <c r="I1971" i="2"/>
  <c r="I1976" i="2"/>
  <c r="I1980" i="2"/>
  <c r="I1989" i="2"/>
  <c r="I1996" i="2"/>
  <c r="I2003" i="2"/>
  <c r="I2011" i="2"/>
  <c r="I2014" i="2"/>
  <c r="I2022" i="2"/>
  <c r="I2025" i="2"/>
  <c r="I2029" i="2"/>
  <c r="I2032" i="2"/>
  <c r="I2034" i="2"/>
  <c r="N2038" i="2"/>
  <c r="I2036" i="2" s="1"/>
  <c r="I2042" i="2"/>
  <c r="I2045" i="2"/>
  <c r="I2051" i="2"/>
  <c r="I2056" i="2"/>
  <c r="I2064" i="2"/>
  <c r="I2068" i="2"/>
  <c r="I2073" i="2"/>
  <c r="I2077" i="2"/>
  <c r="I2080" i="2"/>
  <c r="I2088" i="2"/>
  <c r="I2093" i="2"/>
  <c r="I2097" i="2"/>
  <c r="I2102" i="2"/>
  <c r="I2107" i="2"/>
  <c r="I2115" i="2"/>
  <c r="I2120" i="2"/>
  <c r="I2123" i="2"/>
  <c r="I2126" i="2"/>
  <c r="I2128" i="2"/>
  <c r="I2135" i="2"/>
  <c r="I2139" i="2"/>
  <c r="I2141" i="2"/>
  <c r="I2149" i="2"/>
  <c r="I2151" i="2"/>
  <c r="I2156" i="2"/>
  <c r="I2166" i="2"/>
  <c r="I2170" i="2"/>
  <c r="I2173" i="2"/>
  <c r="I2177" i="2"/>
  <c r="I2179" i="2"/>
  <c r="I2181" i="2"/>
  <c r="I2185" i="2"/>
  <c r="I2188" i="2"/>
  <c r="I2190" i="2"/>
  <c r="I2193" i="2"/>
  <c r="I2197" i="2"/>
  <c r="I2199" i="2"/>
  <c r="I2203" i="2"/>
  <c r="I2206" i="2"/>
  <c r="I2211" i="2"/>
  <c r="I2213" i="2"/>
  <c r="I2215" i="2"/>
  <c r="I2217" i="2"/>
  <c r="I2220" i="2"/>
  <c r="I2226" i="2"/>
  <c r="I2230" i="2"/>
  <c r="I2233" i="2"/>
  <c r="I2238" i="2"/>
  <c r="I2240" i="2"/>
  <c r="I2242" i="2"/>
  <c r="I2244" i="2"/>
  <c r="I2247" i="2"/>
  <c r="I2250" i="2"/>
  <c r="I2252" i="2"/>
  <c r="I2255" i="2"/>
  <c r="I2257" i="2"/>
  <c r="I2260" i="2"/>
  <c r="I2264" i="2"/>
  <c r="I2266" i="2"/>
  <c r="I2270" i="2"/>
  <c r="I2272" i="2"/>
  <c r="I2276" i="2"/>
  <c r="I2279" i="2"/>
  <c r="I2282" i="2"/>
  <c r="I2285" i="2"/>
  <c r="I2288" i="2"/>
  <c r="I2291" i="2"/>
  <c r="I2294" i="2"/>
  <c r="I2296" i="2"/>
  <c r="I2298" i="2"/>
  <c r="I2300" i="2"/>
  <c r="I2303" i="2"/>
  <c r="I2306" i="2"/>
  <c r="I2310" i="2"/>
  <c r="I2313" i="2"/>
  <c r="I2315" i="2"/>
  <c r="I2318" i="2"/>
  <c r="I2321" i="2"/>
  <c r="I2324" i="2"/>
  <c r="I2327" i="2"/>
  <c r="I2333" i="2"/>
  <c r="I2336" i="2"/>
  <c r="I2338" i="2"/>
  <c r="I2340" i="2"/>
  <c r="I2342" i="2"/>
  <c r="I2344" i="2"/>
  <c r="I2346" i="2"/>
  <c r="I2348" i="2"/>
  <c r="I2350" i="2"/>
  <c r="I2352" i="2"/>
  <c r="I2354" i="2"/>
  <c r="I2356" i="2"/>
  <c r="I2359" i="2"/>
  <c r="I2361" i="2"/>
  <c r="I2363" i="2"/>
  <c r="I2365" i="2"/>
  <c r="I2368" i="2"/>
  <c r="I2370" i="2"/>
  <c r="I2372" i="2"/>
  <c r="I2374" i="2"/>
  <c r="I2376" i="2"/>
  <c r="I2378" i="2"/>
  <c r="I2382" i="2"/>
  <c r="I2384" i="2"/>
  <c r="I2386" i="2"/>
  <c r="I2388" i="2"/>
  <c r="I2391" i="2"/>
  <c r="I2394" i="2"/>
  <c r="I2397" i="2"/>
  <c r="I2400" i="2"/>
  <c r="I2402" i="2"/>
  <c r="I2405" i="2"/>
  <c r="I2408" i="2"/>
  <c r="I2410" i="2"/>
  <c r="I2413" i="2"/>
  <c r="I2415" i="2"/>
  <c r="I2417" i="2"/>
  <c r="I2420" i="2"/>
  <c r="I2423" i="2"/>
  <c r="I2426" i="2"/>
  <c r="I2429" i="2"/>
  <c r="I2432" i="2"/>
  <c r="I2435" i="2"/>
  <c r="I2438" i="2"/>
  <c r="I2441" i="2"/>
  <c r="I2444" i="2"/>
  <c r="I2447" i="2"/>
  <c r="I2450" i="2"/>
  <c r="I2453" i="2"/>
  <c r="I2456" i="2"/>
  <c r="I2459" i="2"/>
  <c r="I2462" i="2"/>
  <c r="I2465" i="2"/>
  <c r="I2468" i="2"/>
  <c r="I2471" i="2"/>
  <c r="I2474" i="2"/>
  <c r="I2477" i="2"/>
  <c r="I2480" i="2"/>
  <c r="I2483" i="2"/>
  <c r="I2486" i="2"/>
  <c r="I2489" i="2"/>
  <c r="I2492" i="2"/>
  <c r="I2495" i="2"/>
  <c r="I2498" i="2"/>
  <c r="I2501" i="2"/>
  <c r="I2504" i="2"/>
  <c r="I2509" i="2"/>
  <c r="I2512" i="2"/>
  <c r="I2515" i="2"/>
  <c r="I2519" i="2"/>
  <c r="I2523" i="2"/>
  <c r="I2525" i="2"/>
  <c r="I2530" i="2"/>
  <c r="I2535" i="2"/>
  <c r="I2538" i="2"/>
  <c r="I2541" i="2"/>
  <c r="I2545" i="2"/>
  <c r="I2550" i="2"/>
  <c r="I2553" i="2"/>
  <c r="I2561" i="2"/>
  <c r="I2565" i="2"/>
  <c r="I2568" i="2"/>
  <c r="I2574" i="2"/>
  <c r="I2579" i="2"/>
  <c r="I2582" i="2"/>
  <c r="I2589" i="2"/>
  <c r="I2596" i="2"/>
  <c r="I2599" i="2"/>
  <c r="I2601" i="2"/>
  <c r="I2603" i="2"/>
  <c r="I2610" i="2"/>
  <c r="I2613" i="2"/>
  <c r="I2616" i="2"/>
  <c r="I2618" i="2"/>
  <c r="I2620" i="2"/>
  <c r="I2623" i="2"/>
  <c r="I2626" i="2"/>
  <c r="I2629" i="2"/>
  <c r="I2635" i="2"/>
  <c r="I2640" i="2"/>
  <c r="I2644" i="2"/>
  <c r="I2648" i="2"/>
  <c r="I2651" i="2"/>
  <c r="I2655" i="2"/>
  <c r="I2660" i="2"/>
  <c r="I2665" i="2"/>
  <c r="I2668" i="2"/>
  <c r="I2670" i="2"/>
  <c r="I2672" i="2"/>
  <c r="I2677" i="2"/>
  <c r="I2674" i="2" s="1"/>
  <c r="I2684" i="2"/>
  <c r="I2686" i="2"/>
  <c r="I2688" i="2"/>
  <c r="I2690" i="2"/>
  <c r="I2692" i="2"/>
  <c r="I2694" i="2"/>
  <c r="I2696" i="2"/>
  <c r="I2698" i="2"/>
  <c r="I2700" i="2"/>
  <c r="I2702" i="2"/>
  <c r="I2704" i="2"/>
  <c r="I2706" i="2"/>
  <c r="I2708" i="2"/>
  <c r="I2710" i="2"/>
  <c r="I2712" i="2"/>
  <c r="I2714" i="2"/>
  <c r="I2716" i="2"/>
  <c r="I2718" i="2"/>
  <c r="I2720" i="2"/>
  <c r="I2722" i="2"/>
  <c r="I2724" i="2"/>
  <c r="I2726" i="2"/>
  <c r="I2747" i="2"/>
  <c r="I2748" i="2"/>
  <c r="I2750" i="2"/>
  <c r="I2778" i="2"/>
  <c r="I2830" i="2" s="1"/>
  <c r="I2812" i="2"/>
  <c r="I2732" i="2" l="1"/>
  <c r="I2733" i="2"/>
  <c r="I75" i="2"/>
  <c r="I2749" i="2"/>
  <c r="I2745" i="2" s="1"/>
  <c r="I1286" i="2"/>
  <c r="I2735" i="2"/>
  <c r="I2787" i="2" s="1"/>
  <c r="I2799" i="2"/>
  <c r="I2734" i="2"/>
  <c r="I1269" i="2"/>
  <c r="I1270" i="2"/>
  <c r="I2802" i="2"/>
  <c r="I2800" i="2"/>
  <c r="I293" i="2"/>
  <c r="I46" i="2"/>
  <c r="I61" i="2"/>
  <c r="I1283" i="2"/>
  <c r="C246" i="2"/>
  <c r="C247" i="2"/>
  <c r="C251" i="2"/>
  <c r="C252" i="2"/>
  <c r="I2746" i="2"/>
  <c r="I2801" i="2" l="1"/>
  <c r="I1282" i="2"/>
  <c r="I2797" i="2" s="1"/>
  <c r="I1271" i="2"/>
  <c r="I2786" i="2" s="1"/>
  <c r="I2785" i="2"/>
  <c r="I2784" i="2"/>
  <c r="I2798" i="2"/>
  <c r="B7" i="2" l="1"/>
  <c r="C7" i="2" s="1"/>
  <c r="D7" i="2" s="1"/>
  <c r="E7" i="2" s="1"/>
  <c r="F7" i="2" s="1"/>
  <c r="G7" i="2" s="1"/>
  <c r="M7" i="2" l="1"/>
  <c r="N7" i="2" s="1"/>
  <c r="H7" i="2"/>
  <c r="I7" i="2" s="1"/>
  <c r="J7" i="2" s="1"/>
  <c r="K7" i="2" s="1"/>
  <c r="L7" i="2" s="1"/>
  <c r="W1314" i="4"/>
  <c r="U1314" i="4" s="1"/>
  <c r="Q1314" i="4" s="1"/>
  <c r="W1313" i="4"/>
  <c r="W1312" i="4"/>
  <c r="U1312" i="4" s="1"/>
  <c r="W1311" i="4"/>
  <c r="U1311" i="4" s="1"/>
  <c r="Q1311" i="4" s="1"/>
  <c r="Y1310" i="4"/>
  <c r="X1310" i="4"/>
  <c r="V1310" i="4"/>
  <c r="W1308" i="4"/>
  <c r="U1308" i="4" s="1"/>
  <c r="R1308" i="4"/>
  <c r="W1307" i="4"/>
  <c r="U1307" i="4" s="1"/>
  <c r="R1307" i="4"/>
  <c r="W1306" i="4"/>
  <c r="U1306" i="4" s="1"/>
  <c r="R1306" i="4"/>
  <c r="W1305" i="4"/>
  <c r="U1305" i="4" s="1"/>
  <c r="R1305" i="4"/>
  <c r="W1304" i="4"/>
  <c r="U1304" i="4" s="1"/>
  <c r="R1304" i="4"/>
  <c r="W1303" i="4"/>
  <c r="U1303" i="4" s="1"/>
  <c r="R1303" i="4"/>
  <c r="W1302" i="4"/>
  <c r="U1302" i="4" s="1"/>
  <c r="R1302" i="4"/>
  <c r="W1301" i="4"/>
  <c r="R1301" i="4"/>
  <c r="Z1300" i="4"/>
  <c r="Y1300" i="4"/>
  <c r="X1300" i="4"/>
  <c r="V1300" i="4"/>
  <c r="T1300" i="4"/>
  <c r="S1300" i="4"/>
  <c r="O1300" i="4"/>
  <c r="L1300" i="4"/>
  <c r="W1298" i="4"/>
  <c r="U1298" i="4" s="1"/>
  <c r="R1298" i="4"/>
  <c r="W1297" i="4"/>
  <c r="U1297" i="4" s="1"/>
  <c r="R1297" i="4"/>
  <c r="W1296" i="4"/>
  <c r="U1296" i="4" s="1"/>
  <c r="R1296" i="4"/>
  <c r="W1295" i="4"/>
  <c r="U1295" i="4" s="1"/>
  <c r="R1295" i="4"/>
  <c r="W1294" i="4"/>
  <c r="U1294" i="4" s="1"/>
  <c r="R1294" i="4"/>
  <c r="W1293" i="4"/>
  <c r="U1293" i="4" s="1"/>
  <c r="R1293" i="4"/>
  <c r="W1292" i="4"/>
  <c r="U1292" i="4" s="1"/>
  <c r="R1292" i="4"/>
  <c r="W1291" i="4"/>
  <c r="U1291" i="4" s="1"/>
  <c r="R1291" i="4"/>
  <c r="Z1290" i="4"/>
  <c r="Y1290" i="4"/>
  <c r="X1290" i="4"/>
  <c r="V1290" i="4"/>
  <c r="T1290" i="4"/>
  <c r="S1290" i="4"/>
  <c r="O1290" i="4"/>
  <c r="L1290" i="4"/>
  <c r="W1288" i="4"/>
  <c r="U1288" i="4" s="1"/>
  <c r="R1288" i="4"/>
  <c r="W1287" i="4"/>
  <c r="U1287" i="4" s="1"/>
  <c r="R1287" i="4"/>
  <c r="W1286" i="4"/>
  <c r="U1286" i="4" s="1"/>
  <c r="R1286" i="4"/>
  <c r="W1285" i="4"/>
  <c r="U1285" i="4" s="1"/>
  <c r="R1285" i="4"/>
  <c r="W1284" i="4"/>
  <c r="U1284" i="4" s="1"/>
  <c r="R1284" i="4"/>
  <c r="W1283" i="4"/>
  <c r="U1283" i="4" s="1"/>
  <c r="R1283" i="4"/>
  <c r="W1282" i="4"/>
  <c r="U1282" i="4" s="1"/>
  <c r="R1282" i="4"/>
  <c r="W1281" i="4"/>
  <c r="U1281" i="4" s="1"/>
  <c r="R1281" i="4"/>
  <c r="Z1280" i="4"/>
  <c r="Y1280" i="4"/>
  <c r="X1280" i="4"/>
  <c r="V1280" i="4"/>
  <c r="T1280" i="4"/>
  <c r="S1280" i="4"/>
  <c r="O1280" i="4"/>
  <c r="L1280" i="4"/>
  <c r="W1277" i="4"/>
  <c r="U1277" i="4" s="1"/>
  <c r="R1277" i="4"/>
  <c r="W1276" i="4"/>
  <c r="U1276" i="4" s="1"/>
  <c r="R1276" i="4"/>
  <c r="W1275" i="4"/>
  <c r="U1275" i="4" s="1"/>
  <c r="R1275" i="4"/>
  <c r="W1274" i="4"/>
  <c r="U1274" i="4" s="1"/>
  <c r="R1274" i="4"/>
  <c r="W1273" i="4"/>
  <c r="U1273" i="4" s="1"/>
  <c r="R1273" i="4"/>
  <c r="W1272" i="4"/>
  <c r="U1272" i="4" s="1"/>
  <c r="R1272" i="4"/>
  <c r="W1271" i="4"/>
  <c r="U1271" i="4" s="1"/>
  <c r="R1271" i="4"/>
  <c r="W1270" i="4"/>
  <c r="U1270" i="4" s="1"/>
  <c r="R1270" i="4"/>
  <c r="Z1269" i="4"/>
  <c r="Y1269" i="4"/>
  <c r="X1269" i="4"/>
  <c r="V1269" i="4"/>
  <c r="T1269" i="4"/>
  <c r="S1269" i="4"/>
  <c r="O1269" i="4"/>
  <c r="L1269" i="4"/>
  <c r="W1267" i="4"/>
  <c r="U1267" i="4" s="1"/>
  <c r="R1267" i="4"/>
  <c r="W1266" i="4"/>
  <c r="U1266" i="4" s="1"/>
  <c r="R1266" i="4"/>
  <c r="W1265" i="4"/>
  <c r="U1265" i="4" s="1"/>
  <c r="R1265" i="4"/>
  <c r="W1264" i="4"/>
  <c r="U1264" i="4" s="1"/>
  <c r="R1264" i="4"/>
  <c r="W1263" i="4"/>
  <c r="U1263" i="4" s="1"/>
  <c r="R1263" i="4"/>
  <c r="W1262" i="4"/>
  <c r="U1262" i="4" s="1"/>
  <c r="R1262" i="4"/>
  <c r="W1261" i="4"/>
  <c r="U1261" i="4" s="1"/>
  <c r="R1261" i="4"/>
  <c r="W1260" i="4"/>
  <c r="R1260" i="4"/>
  <c r="Z1259" i="4"/>
  <c r="Y1259" i="4"/>
  <c r="X1259" i="4"/>
  <c r="V1259" i="4"/>
  <c r="T1259" i="4"/>
  <c r="S1259" i="4"/>
  <c r="O1259" i="4"/>
  <c r="L1259" i="4"/>
  <c r="W1257" i="4"/>
  <c r="W1235" i="4" s="1"/>
  <c r="W1256" i="4"/>
  <c r="U1256" i="4" s="1"/>
  <c r="Q1256" i="4" s="1"/>
  <c r="W1255" i="4"/>
  <c r="U1255" i="4" s="1"/>
  <c r="Q1255" i="4" s="1"/>
  <c r="W1254" i="4"/>
  <c r="U1254" i="4" s="1"/>
  <c r="Q1254" i="4" s="1"/>
  <c r="W1253" i="4"/>
  <c r="U1253" i="4" s="1"/>
  <c r="Q1253" i="4" s="1"/>
  <c r="W1252" i="4"/>
  <c r="U1252" i="4" s="1"/>
  <c r="Q1252" i="4" s="1"/>
  <c r="W1251" i="4"/>
  <c r="U1251" i="4" s="1"/>
  <c r="Q1251" i="4" s="1"/>
  <c r="W1250" i="4"/>
  <c r="U1250" i="4" s="1"/>
  <c r="Q1250" i="4" s="1"/>
  <c r="W1249" i="4"/>
  <c r="U1249" i="4" s="1"/>
  <c r="Q1249" i="4" s="1"/>
  <c r="W1248" i="4"/>
  <c r="U1248" i="4" s="1"/>
  <c r="Q1248" i="4" s="1"/>
  <c r="W1247" i="4"/>
  <c r="U1247" i="4" s="1"/>
  <c r="Q1247" i="4" s="1"/>
  <c r="W1246" i="4"/>
  <c r="U1246" i="4" s="1"/>
  <c r="Q1246" i="4" s="1"/>
  <c r="W1245" i="4"/>
  <c r="U1245" i="4" s="1"/>
  <c r="Q1245" i="4" s="1"/>
  <c r="W1244" i="4"/>
  <c r="U1244" i="4" s="1"/>
  <c r="Q1244" i="4" s="1"/>
  <c r="W1243" i="4"/>
  <c r="U1243" i="4" s="1"/>
  <c r="Q1243" i="4" s="1"/>
  <c r="W1242" i="4"/>
  <c r="U1242" i="4" s="1"/>
  <c r="Q1242" i="4" s="1"/>
  <c r="W1241" i="4"/>
  <c r="U1241" i="4" s="1"/>
  <c r="Q1241" i="4" s="1"/>
  <c r="W1240" i="4"/>
  <c r="U1240" i="4" s="1"/>
  <c r="Q1240" i="4" s="1"/>
  <c r="W1239" i="4"/>
  <c r="U1239" i="4" s="1"/>
  <c r="Q1239" i="4" s="1"/>
  <c r="W1238" i="4"/>
  <c r="U1238" i="4" s="1"/>
  <c r="Q1238" i="4" s="1"/>
  <c r="W1237" i="4"/>
  <c r="U1237" i="4" s="1"/>
  <c r="Q1237" i="4" s="1"/>
  <c r="W1236" i="4"/>
  <c r="U1236" i="4" s="1"/>
  <c r="Q1236" i="4" s="1"/>
  <c r="Y1235" i="4"/>
  <c r="X1235" i="4"/>
  <c r="V1235" i="4"/>
  <c r="T1235" i="4"/>
  <c r="S1235" i="4"/>
  <c r="R1235" i="4"/>
  <c r="W1233" i="4"/>
  <c r="U1233" i="4" s="1"/>
  <c r="R1233" i="4"/>
  <c r="W1232" i="4"/>
  <c r="U1232" i="4" s="1"/>
  <c r="R1232" i="4"/>
  <c r="W1231" i="4"/>
  <c r="U1231" i="4" s="1"/>
  <c r="R1231" i="4"/>
  <c r="W1230" i="4"/>
  <c r="U1230" i="4" s="1"/>
  <c r="R1230" i="4"/>
  <c r="W1229" i="4"/>
  <c r="U1229" i="4" s="1"/>
  <c r="R1229" i="4"/>
  <c r="W1228" i="4"/>
  <c r="U1228" i="4" s="1"/>
  <c r="R1228" i="4"/>
  <c r="W1227" i="4"/>
  <c r="U1227" i="4" s="1"/>
  <c r="R1227" i="4"/>
  <c r="W1226" i="4"/>
  <c r="R1226" i="4"/>
  <c r="Z1225" i="4"/>
  <c r="Y1225" i="4"/>
  <c r="X1225" i="4"/>
  <c r="V1225" i="4"/>
  <c r="T1225" i="4"/>
  <c r="S1225" i="4"/>
  <c r="O1225" i="4"/>
  <c r="L1225" i="4"/>
  <c r="W1223" i="4"/>
  <c r="U1223" i="4" s="1"/>
  <c r="R1223" i="4"/>
  <c r="W1222" i="4"/>
  <c r="U1222" i="4" s="1"/>
  <c r="R1222" i="4"/>
  <c r="W1221" i="4"/>
  <c r="U1221" i="4" s="1"/>
  <c r="R1221" i="4"/>
  <c r="W1220" i="4"/>
  <c r="U1220" i="4" s="1"/>
  <c r="R1220" i="4"/>
  <c r="W1219" i="4"/>
  <c r="U1219" i="4" s="1"/>
  <c r="R1219" i="4"/>
  <c r="W1218" i="4"/>
  <c r="U1218" i="4" s="1"/>
  <c r="R1218" i="4"/>
  <c r="W1217" i="4"/>
  <c r="U1217" i="4" s="1"/>
  <c r="R1217" i="4"/>
  <c r="W1216" i="4"/>
  <c r="R1216" i="4"/>
  <c r="Z1215" i="4"/>
  <c r="Y1215" i="4"/>
  <c r="X1215" i="4"/>
  <c r="V1215" i="4"/>
  <c r="T1215" i="4"/>
  <c r="S1215" i="4"/>
  <c r="O1215" i="4"/>
  <c r="L1215" i="4"/>
  <c r="W1213" i="4"/>
  <c r="U1213" i="4" s="1"/>
  <c r="R1213" i="4"/>
  <c r="W1212" i="4"/>
  <c r="U1212" i="4" s="1"/>
  <c r="R1212" i="4"/>
  <c r="W1211" i="4"/>
  <c r="U1211" i="4" s="1"/>
  <c r="R1211" i="4"/>
  <c r="W1210" i="4"/>
  <c r="U1210" i="4" s="1"/>
  <c r="R1210" i="4"/>
  <c r="W1209" i="4"/>
  <c r="U1209" i="4" s="1"/>
  <c r="R1209" i="4"/>
  <c r="W1208" i="4"/>
  <c r="U1208" i="4" s="1"/>
  <c r="R1208" i="4"/>
  <c r="W1207" i="4"/>
  <c r="U1207" i="4" s="1"/>
  <c r="R1207" i="4"/>
  <c r="W1206" i="4"/>
  <c r="R1206" i="4"/>
  <c r="Z1205" i="4"/>
  <c r="Y1205" i="4"/>
  <c r="X1205" i="4"/>
  <c r="V1205" i="4"/>
  <c r="T1205" i="4"/>
  <c r="S1205" i="4"/>
  <c r="O1205" i="4"/>
  <c r="L1205" i="4"/>
  <c r="W1203" i="4"/>
  <c r="U1203" i="4" s="1"/>
  <c r="R1203" i="4"/>
  <c r="W1202" i="4"/>
  <c r="U1202" i="4" s="1"/>
  <c r="R1202" i="4"/>
  <c r="W1201" i="4"/>
  <c r="U1201" i="4" s="1"/>
  <c r="R1201" i="4"/>
  <c r="W1200" i="4"/>
  <c r="U1200" i="4" s="1"/>
  <c r="R1200" i="4"/>
  <c r="W1199" i="4"/>
  <c r="U1199" i="4" s="1"/>
  <c r="R1199" i="4"/>
  <c r="W1198" i="4"/>
  <c r="U1198" i="4" s="1"/>
  <c r="R1198" i="4"/>
  <c r="W1197" i="4"/>
  <c r="U1197" i="4" s="1"/>
  <c r="R1197" i="4"/>
  <c r="W1196" i="4"/>
  <c r="R1196" i="4"/>
  <c r="Z1195" i="4"/>
  <c r="Y1195" i="4"/>
  <c r="X1195" i="4"/>
  <c r="V1195" i="4"/>
  <c r="T1195" i="4"/>
  <c r="S1195" i="4"/>
  <c r="O1195" i="4"/>
  <c r="L1195" i="4"/>
  <c r="W1193" i="4"/>
  <c r="U1193" i="4" s="1"/>
  <c r="R1193" i="4"/>
  <c r="W1192" i="4"/>
  <c r="U1192" i="4" s="1"/>
  <c r="R1192" i="4"/>
  <c r="W1191" i="4"/>
  <c r="U1191" i="4" s="1"/>
  <c r="R1191" i="4"/>
  <c r="W1190" i="4"/>
  <c r="U1190" i="4" s="1"/>
  <c r="R1190" i="4"/>
  <c r="W1189" i="4"/>
  <c r="U1189" i="4" s="1"/>
  <c r="R1189" i="4"/>
  <c r="W1188" i="4"/>
  <c r="U1188" i="4" s="1"/>
  <c r="R1188" i="4"/>
  <c r="W1187" i="4"/>
  <c r="R1187" i="4"/>
  <c r="W1186" i="4"/>
  <c r="U1186" i="4" s="1"/>
  <c r="R1186" i="4"/>
  <c r="Z1185" i="4"/>
  <c r="Y1185" i="4"/>
  <c r="X1185" i="4"/>
  <c r="V1185" i="4"/>
  <c r="T1185" i="4"/>
  <c r="S1185" i="4"/>
  <c r="O1185" i="4"/>
  <c r="L1185" i="4"/>
  <c r="W1183" i="4"/>
  <c r="U1183" i="4" s="1"/>
  <c r="R1183" i="4"/>
  <c r="W1182" i="4"/>
  <c r="U1182" i="4" s="1"/>
  <c r="R1182" i="4"/>
  <c r="W1181" i="4"/>
  <c r="U1181" i="4" s="1"/>
  <c r="R1181" i="4"/>
  <c r="W1180" i="4"/>
  <c r="U1180" i="4" s="1"/>
  <c r="R1180" i="4"/>
  <c r="W1179" i="4"/>
  <c r="U1179" i="4" s="1"/>
  <c r="R1179" i="4"/>
  <c r="W1178" i="4"/>
  <c r="U1178" i="4" s="1"/>
  <c r="R1178" i="4"/>
  <c r="W1177" i="4"/>
  <c r="U1177" i="4" s="1"/>
  <c r="R1177" i="4"/>
  <c r="W1176" i="4"/>
  <c r="U1176" i="4" s="1"/>
  <c r="R1176" i="4"/>
  <c r="Z1175" i="4"/>
  <c r="Y1175" i="4"/>
  <c r="X1175" i="4"/>
  <c r="V1175" i="4"/>
  <c r="T1175" i="4"/>
  <c r="S1175" i="4"/>
  <c r="O1175" i="4"/>
  <c r="L1175" i="4"/>
  <c r="W1172" i="4"/>
  <c r="U1172" i="4" s="1"/>
  <c r="R1172" i="4"/>
  <c r="W1171" i="4"/>
  <c r="U1171" i="4" s="1"/>
  <c r="R1171" i="4"/>
  <c r="W1170" i="4"/>
  <c r="U1170" i="4" s="1"/>
  <c r="R1170" i="4"/>
  <c r="W1169" i="4"/>
  <c r="U1169" i="4" s="1"/>
  <c r="R1169" i="4"/>
  <c r="W1168" i="4"/>
  <c r="U1168" i="4" s="1"/>
  <c r="R1168" i="4"/>
  <c r="W1167" i="4"/>
  <c r="U1167" i="4" s="1"/>
  <c r="R1167" i="4"/>
  <c r="W1166" i="4"/>
  <c r="R1166" i="4"/>
  <c r="W1165" i="4"/>
  <c r="U1165" i="4" s="1"/>
  <c r="R1165" i="4"/>
  <c r="Z1164" i="4"/>
  <c r="Y1164" i="4"/>
  <c r="X1164" i="4"/>
  <c r="V1164" i="4"/>
  <c r="T1164" i="4"/>
  <c r="S1164" i="4"/>
  <c r="O1164" i="4"/>
  <c r="L1164" i="4"/>
  <c r="W1162" i="4"/>
  <c r="U1162" i="4" s="1"/>
  <c r="R1162" i="4"/>
  <c r="W1161" i="4"/>
  <c r="U1161" i="4" s="1"/>
  <c r="R1161" i="4"/>
  <c r="W1160" i="4"/>
  <c r="U1160" i="4" s="1"/>
  <c r="R1160" i="4"/>
  <c r="W1159" i="4"/>
  <c r="U1159" i="4" s="1"/>
  <c r="R1159" i="4"/>
  <c r="W1158" i="4"/>
  <c r="U1158" i="4" s="1"/>
  <c r="R1158" i="4"/>
  <c r="W1157" i="4"/>
  <c r="U1157" i="4" s="1"/>
  <c r="R1157" i="4"/>
  <c r="W1156" i="4"/>
  <c r="U1156" i="4" s="1"/>
  <c r="R1156" i="4"/>
  <c r="W1155" i="4"/>
  <c r="R1155" i="4"/>
  <c r="Z1154" i="4"/>
  <c r="Y1154" i="4"/>
  <c r="X1154" i="4"/>
  <c r="V1154" i="4"/>
  <c r="T1154" i="4"/>
  <c r="S1154" i="4"/>
  <c r="O1154" i="4"/>
  <c r="L1154" i="4"/>
  <c r="W1152" i="4"/>
  <c r="U1152" i="4" s="1"/>
  <c r="R1152" i="4"/>
  <c r="W1151" i="4"/>
  <c r="U1151" i="4" s="1"/>
  <c r="R1151" i="4"/>
  <c r="W1150" i="4"/>
  <c r="U1150" i="4" s="1"/>
  <c r="R1150" i="4"/>
  <c r="W1149" i="4"/>
  <c r="U1149" i="4" s="1"/>
  <c r="R1149" i="4"/>
  <c r="W1148" i="4"/>
  <c r="U1148" i="4" s="1"/>
  <c r="R1148" i="4"/>
  <c r="W1147" i="4"/>
  <c r="U1147" i="4" s="1"/>
  <c r="R1147" i="4"/>
  <c r="W1146" i="4"/>
  <c r="U1146" i="4" s="1"/>
  <c r="R1146" i="4"/>
  <c r="W1145" i="4"/>
  <c r="R1145" i="4"/>
  <c r="Z1144" i="4"/>
  <c r="Y1144" i="4"/>
  <c r="X1144" i="4"/>
  <c r="V1144" i="4"/>
  <c r="T1144" i="4"/>
  <c r="S1144" i="4"/>
  <c r="O1144" i="4"/>
  <c r="L1144" i="4"/>
  <c r="W1142" i="4"/>
  <c r="U1142" i="4" s="1"/>
  <c r="R1142" i="4"/>
  <c r="W1141" i="4"/>
  <c r="U1141" i="4" s="1"/>
  <c r="R1141" i="4"/>
  <c r="W1140" i="4"/>
  <c r="U1140" i="4" s="1"/>
  <c r="R1140" i="4"/>
  <c r="W1139" i="4"/>
  <c r="U1139" i="4" s="1"/>
  <c r="R1139" i="4"/>
  <c r="W1138" i="4"/>
  <c r="U1138" i="4" s="1"/>
  <c r="R1138" i="4"/>
  <c r="W1137" i="4"/>
  <c r="U1137" i="4" s="1"/>
  <c r="R1137" i="4"/>
  <c r="W1136" i="4"/>
  <c r="U1136" i="4" s="1"/>
  <c r="R1136" i="4"/>
  <c r="W1135" i="4"/>
  <c r="R1135" i="4"/>
  <c r="Z1134" i="4"/>
  <c r="Y1134" i="4"/>
  <c r="X1134" i="4"/>
  <c r="V1134" i="4"/>
  <c r="T1134" i="4"/>
  <c r="S1134" i="4"/>
  <c r="O1134" i="4"/>
  <c r="L1134" i="4"/>
  <c r="W1132" i="4"/>
  <c r="U1132" i="4" s="1"/>
  <c r="R1132" i="4"/>
  <c r="W1131" i="4"/>
  <c r="U1131" i="4" s="1"/>
  <c r="R1131" i="4"/>
  <c r="W1130" i="4"/>
  <c r="U1130" i="4" s="1"/>
  <c r="R1130" i="4"/>
  <c r="W1129" i="4"/>
  <c r="U1129" i="4" s="1"/>
  <c r="R1129" i="4"/>
  <c r="W1128" i="4"/>
  <c r="U1128" i="4" s="1"/>
  <c r="R1128" i="4"/>
  <c r="W1127" i="4"/>
  <c r="U1127" i="4" s="1"/>
  <c r="R1127" i="4"/>
  <c r="W1126" i="4"/>
  <c r="U1126" i="4" s="1"/>
  <c r="R1126" i="4"/>
  <c r="W1125" i="4"/>
  <c r="R1125" i="4"/>
  <c r="Z1124" i="4"/>
  <c r="Y1124" i="4"/>
  <c r="X1124" i="4"/>
  <c r="V1124" i="4"/>
  <c r="T1124" i="4"/>
  <c r="S1124" i="4"/>
  <c r="O1124" i="4"/>
  <c r="L1124" i="4"/>
  <c r="W1122" i="4"/>
  <c r="U1122" i="4" s="1"/>
  <c r="R1122" i="4"/>
  <c r="W1121" i="4"/>
  <c r="U1121" i="4" s="1"/>
  <c r="R1121" i="4"/>
  <c r="W1120" i="4"/>
  <c r="U1120" i="4" s="1"/>
  <c r="R1120" i="4"/>
  <c r="W1119" i="4"/>
  <c r="U1119" i="4" s="1"/>
  <c r="R1119" i="4"/>
  <c r="W1118" i="4"/>
  <c r="U1118" i="4" s="1"/>
  <c r="R1118" i="4"/>
  <c r="W1117" i="4"/>
  <c r="U1117" i="4" s="1"/>
  <c r="R1117" i="4"/>
  <c r="W1116" i="4"/>
  <c r="U1116" i="4" s="1"/>
  <c r="R1116" i="4"/>
  <c r="W1115" i="4"/>
  <c r="R1115" i="4"/>
  <c r="Z1114" i="4"/>
  <c r="Y1114" i="4"/>
  <c r="X1114" i="4"/>
  <c r="V1114" i="4"/>
  <c r="T1114" i="4"/>
  <c r="S1114" i="4"/>
  <c r="O1114" i="4"/>
  <c r="L1114" i="4"/>
  <c r="W1112" i="4"/>
  <c r="U1112" i="4" s="1"/>
  <c r="R1112" i="4"/>
  <c r="W1111" i="4"/>
  <c r="U1111" i="4" s="1"/>
  <c r="R1111" i="4"/>
  <c r="W1110" i="4"/>
  <c r="U1110" i="4" s="1"/>
  <c r="R1110" i="4"/>
  <c r="W1109" i="4"/>
  <c r="U1109" i="4" s="1"/>
  <c r="R1109" i="4"/>
  <c r="W1108" i="4"/>
  <c r="U1108" i="4" s="1"/>
  <c r="R1108" i="4"/>
  <c r="W1107" i="4"/>
  <c r="U1107" i="4" s="1"/>
  <c r="R1107" i="4"/>
  <c r="W1106" i="4"/>
  <c r="U1106" i="4" s="1"/>
  <c r="R1106" i="4"/>
  <c r="W1105" i="4"/>
  <c r="R1105" i="4"/>
  <c r="Z1104" i="4"/>
  <c r="Y1104" i="4"/>
  <c r="X1104" i="4"/>
  <c r="V1104" i="4"/>
  <c r="T1104" i="4"/>
  <c r="S1104" i="4"/>
  <c r="O1104" i="4"/>
  <c r="L1104" i="4"/>
  <c r="W1102" i="4"/>
  <c r="U1102" i="4" s="1"/>
  <c r="R1102" i="4"/>
  <c r="W1101" i="4"/>
  <c r="U1101" i="4" s="1"/>
  <c r="R1101" i="4"/>
  <c r="W1100" i="4"/>
  <c r="U1100" i="4" s="1"/>
  <c r="R1100" i="4"/>
  <c r="W1099" i="4"/>
  <c r="U1099" i="4" s="1"/>
  <c r="R1099" i="4"/>
  <c r="W1098" i="4"/>
  <c r="U1098" i="4" s="1"/>
  <c r="R1098" i="4"/>
  <c r="W1097" i="4"/>
  <c r="R1097" i="4"/>
  <c r="W1096" i="4"/>
  <c r="U1096" i="4" s="1"/>
  <c r="R1096" i="4"/>
  <c r="W1095" i="4"/>
  <c r="U1095" i="4" s="1"/>
  <c r="R1095" i="4"/>
  <c r="Z1094" i="4"/>
  <c r="Y1094" i="4"/>
  <c r="X1094" i="4"/>
  <c r="V1094" i="4"/>
  <c r="T1094" i="4"/>
  <c r="S1094" i="4"/>
  <c r="O1094" i="4"/>
  <c r="L1094" i="4"/>
  <c r="W1092" i="4"/>
  <c r="U1092" i="4" s="1"/>
  <c r="R1092" i="4"/>
  <c r="W1091" i="4"/>
  <c r="U1091" i="4" s="1"/>
  <c r="R1091" i="4"/>
  <c r="W1090" i="4"/>
  <c r="U1090" i="4" s="1"/>
  <c r="R1090" i="4"/>
  <c r="W1089" i="4"/>
  <c r="U1089" i="4" s="1"/>
  <c r="R1089" i="4"/>
  <c r="W1088" i="4"/>
  <c r="U1088" i="4" s="1"/>
  <c r="R1088" i="4"/>
  <c r="W1087" i="4"/>
  <c r="U1087" i="4" s="1"/>
  <c r="R1087" i="4"/>
  <c r="W1086" i="4"/>
  <c r="U1086" i="4" s="1"/>
  <c r="R1086" i="4"/>
  <c r="W1085" i="4"/>
  <c r="R1085" i="4"/>
  <c r="Z1084" i="4"/>
  <c r="Y1084" i="4"/>
  <c r="X1084" i="4"/>
  <c r="V1084" i="4"/>
  <c r="T1084" i="4"/>
  <c r="S1084" i="4"/>
  <c r="O1084" i="4"/>
  <c r="L1084" i="4"/>
  <c r="W1080" i="4"/>
  <c r="U1080" i="4" s="1"/>
  <c r="R1080" i="4"/>
  <c r="W1079" i="4"/>
  <c r="U1079" i="4" s="1"/>
  <c r="R1079" i="4"/>
  <c r="W1078" i="4"/>
  <c r="U1078" i="4" s="1"/>
  <c r="R1078" i="4"/>
  <c r="W1077" i="4"/>
  <c r="U1077" i="4" s="1"/>
  <c r="R1077" i="4"/>
  <c r="W1076" i="4"/>
  <c r="U1076" i="4" s="1"/>
  <c r="R1076" i="4"/>
  <c r="W1075" i="4"/>
  <c r="U1075" i="4" s="1"/>
  <c r="R1075" i="4"/>
  <c r="W1074" i="4"/>
  <c r="U1074" i="4" s="1"/>
  <c r="R1074" i="4"/>
  <c r="W1073" i="4"/>
  <c r="U1073" i="4" s="1"/>
  <c r="R1073" i="4"/>
  <c r="W1072" i="4"/>
  <c r="U1072" i="4" s="1"/>
  <c r="R1072" i="4"/>
  <c r="W1071" i="4"/>
  <c r="U1071" i="4" s="1"/>
  <c r="R1071" i="4"/>
  <c r="W1070" i="4"/>
  <c r="U1070" i="4" s="1"/>
  <c r="R1070" i="4"/>
  <c r="W1069" i="4"/>
  <c r="U1069" i="4" s="1"/>
  <c r="R1069" i="4"/>
  <c r="W1068" i="4"/>
  <c r="U1068" i="4" s="1"/>
  <c r="R1068" i="4"/>
  <c r="W1067" i="4"/>
  <c r="U1067" i="4" s="1"/>
  <c r="R1067" i="4"/>
  <c r="W1066" i="4"/>
  <c r="U1066" i="4" s="1"/>
  <c r="R1066" i="4"/>
  <c r="W1065" i="4"/>
  <c r="U1065" i="4" s="1"/>
  <c r="R1065" i="4"/>
  <c r="Z1064" i="4"/>
  <c r="Y1064" i="4"/>
  <c r="X1064" i="4"/>
  <c r="V1064" i="4"/>
  <c r="T1064" i="4"/>
  <c r="S1064" i="4"/>
  <c r="O1064" i="4"/>
  <c r="L1064" i="4"/>
  <c r="W1062" i="4"/>
  <c r="U1062" i="4" s="1"/>
  <c r="R1062" i="4"/>
  <c r="W1061" i="4"/>
  <c r="U1061" i="4" s="1"/>
  <c r="R1061" i="4"/>
  <c r="W1060" i="4"/>
  <c r="U1060" i="4" s="1"/>
  <c r="R1060" i="4"/>
  <c r="W1059" i="4"/>
  <c r="U1059" i="4" s="1"/>
  <c r="R1059" i="4"/>
  <c r="W1058" i="4"/>
  <c r="U1058" i="4" s="1"/>
  <c r="R1058" i="4"/>
  <c r="W1057" i="4"/>
  <c r="U1057" i="4" s="1"/>
  <c r="R1057" i="4"/>
  <c r="W1056" i="4"/>
  <c r="U1056" i="4" s="1"/>
  <c r="R1056" i="4"/>
  <c r="W1055" i="4"/>
  <c r="R1055" i="4"/>
  <c r="W1054" i="4"/>
  <c r="U1054" i="4" s="1"/>
  <c r="R1054" i="4"/>
  <c r="W1053" i="4"/>
  <c r="U1053" i="4" s="1"/>
  <c r="R1053" i="4"/>
  <c r="W1052" i="4"/>
  <c r="U1052" i="4" s="1"/>
  <c r="R1052" i="4"/>
  <c r="W1051" i="4"/>
  <c r="U1051" i="4" s="1"/>
  <c r="R1051" i="4"/>
  <c r="W1050" i="4"/>
  <c r="U1050" i="4" s="1"/>
  <c r="R1050" i="4"/>
  <c r="W1049" i="4"/>
  <c r="U1049" i="4" s="1"/>
  <c r="R1049" i="4"/>
  <c r="W1048" i="4"/>
  <c r="U1048" i="4" s="1"/>
  <c r="R1048" i="4"/>
  <c r="W1047" i="4"/>
  <c r="U1047" i="4" s="1"/>
  <c r="R1047" i="4"/>
  <c r="Z1046" i="4"/>
  <c r="Y1046" i="4"/>
  <c r="X1046" i="4"/>
  <c r="V1046" i="4"/>
  <c r="T1046" i="4"/>
  <c r="S1046" i="4"/>
  <c r="O1046" i="4"/>
  <c r="L1046" i="4"/>
  <c r="W1044" i="4"/>
  <c r="U1044" i="4" s="1"/>
  <c r="R1044" i="4"/>
  <c r="W1043" i="4"/>
  <c r="U1043" i="4" s="1"/>
  <c r="R1043" i="4"/>
  <c r="W1042" i="4"/>
  <c r="U1042" i="4" s="1"/>
  <c r="R1042" i="4"/>
  <c r="W1041" i="4"/>
  <c r="U1041" i="4" s="1"/>
  <c r="R1041" i="4"/>
  <c r="W1040" i="4"/>
  <c r="U1040" i="4" s="1"/>
  <c r="R1040" i="4"/>
  <c r="W1039" i="4"/>
  <c r="U1039" i="4" s="1"/>
  <c r="R1039" i="4"/>
  <c r="W1038" i="4"/>
  <c r="U1038" i="4" s="1"/>
  <c r="R1038" i="4"/>
  <c r="W1037" i="4"/>
  <c r="U1037" i="4" s="1"/>
  <c r="R1037" i="4"/>
  <c r="W1036" i="4"/>
  <c r="U1036" i="4" s="1"/>
  <c r="R1036" i="4"/>
  <c r="W1035" i="4"/>
  <c r="U1035" i="4" s="1"/>
  <c r="R1035" i="4"/>
  <c r="W1034" i="4"/>
  <c r="U1034" i="4" s="1"/>
  <c r="R1034" i="4"/>
  <c r="W1033" i="4"/>
  <c r="U1033" i="4" s="1"/>
  <c r="R1033" i="4"/>
  <c r="W1032" i="4"/>
  <c r="U1032" i="4" s="1"/>
  <c r="R1032" i="4"/>
  <c r="W1031" i="4"/>
  <c r="U1031" i="4" s="1"/>
  <c r="R1031" i="4"/>
  <c r="W1030" i="4"/>
  <c r="U1030" i="4" s="1"/>
  <c r="R1030" i="4"/>
  <c r="W1029" i="4"/>
  <c r="U1029" i="4" s="1"/>
  <c r="R1029" i="4"/>
  <c r="Z1028" i="4"/>
  <c r="Y1028" i="4"/>
  <c r="X1028" i="4"/>
  <c r="V1028" i="4"/>
  <c r="T1028" i="4"/>
  <c r="S1028" i="4"/>
  <c r="O1028" i="4"/>
  <c r="L1028" i="4"/>
  <c r="W1026" i="4"/>
  <c r="U1026" i="4" s="1"/>
  <c r="R1026" i="4"/>
  <c r="W1025" i="4"/>
  <c r="U1025" i="4" s="1"/>
  <c r="R1025" i="4"/>
  <c r="W1024" i="4"/>
  <c r="U1024" i="4" s="1"/>
  <c r="R1024" i="4"/>
  <c r="W1023" i="4"/>
  <c r="U1023" i="4" s="1"/>
  <c r="R1023" i="4"/>
  <c r="W1022" i="4"/>
  <c r="U1022" i="4" s="1"/>
  <c r="R1022" i="4"/>
  <c r="W1021" i="4"/>
  <c r="U1021" i="4" s="1"/>
  <c r="R1021" i="4"/>
  <c r="W1020" i="4"/>
  <c r="U1020" i="4" s="1"/>
  <c r="R1020" i="4"/>
  <c r="W1019" i="4"/>
  <c r="R1019" i="4"/>
  <c r="W1018" i="4"/>
  <c r="U1018" i="4" s="1"/>
  <c r="R1018" i="4"/>
  <c r="W1017" i="4"/>
  <c r="U1017" i="4" s="1"/>
  <c r="R1017" i="4"/>
  <c r="W1016" i="4"/>
  <c r="U1016" i="4" s="1"/>
  <c r="R1016" i="4"/>
  <c r="W1015" i="4"/>
  <c r="U1015" i="4" s="1"/>
  <c r="R1015" i="4"/>
  <c r="W1014" i="4"/>
  <c r="U1014" i="4" s="1"/>
  <c r="R1014" i="4"/>
  <c r="W1013" i="4"/>
  <c r="U1013" i="4" s="1"/>
  <c r="R1013" i="4"/>
  <c r="W1012" i="4"/>
  <c r="U1012" i="4" s="1"/>
  <c r="R1012" i="4"/>
  <c r="W1011" i="4"/>
  <c r="U1011" i="4" s="1"/>
  <c r="R1011" i="4"/>
  <c r="Z1010" i="4"/>
  <c r="Y1010" i="4"/>
  <c r="X1010" i="4"/>
  <c r="V1010" i="4"/>
  <c r="T1010" i="4"/>
  <c r="S1010" i="4"/>
  <c r="O1010" i="4"/>
  <c r="L1010" i="4"/>
  <c r="W1008" i="4"/>
  <c r="U1008" i="4" s="1"/>
  <c r="R1008" i="4"/>
  <c r="W1007" i="4"/>
  <c r="U1007" i="4" s="1"/>
  <c r="R1007" i="4"/>
  <c r="W1006" i="4"/>
  <c r="U1006" i="4" s="1"/>
  <c r="R1006" i="4"/>
  <c r="W1005" i="4"/>
  <c r="U1005" i="4" s="1"/>
  <c r="R1005" i="4"/>
  <c r="W1004" i="4"/>
  <c r="U1004" i="4" s="1"/>
  <c r="R1004" i="4"/>
  <c r="W1003" i="4"/>
  <c r="U1003" i="4" s="1"/>
  <c r="R1003" i="4"/>
  <c r="W1002" i="4"/>
  <c r="U1002" i="4" s="1"/>
  <c r="R1002" i="4"/>
  <c r="W1001" i="4"/>
  <c r="U1001" i="4" s="1"/>
  <c r="R1001" i="4"/>
  <c r="W1000" i="4"/>
  <c r="U1000" i="4" s="1"/>
  <c r="R1000" i="4"/>
  <c r="W999" i="4"/>
  <c r="U999" i="4" s="1"/>
  <c r="R999" i="4"/>
  <c r="W998" i="4"/>
  <c r="U998" i="4" s="1"/>
  <c r="R998" i="4"/>
  <c r="W997" i="4"/>
  <c r="U997" i="4" s="1"/>
  <c r="R997" i="4"/>
  <c r="W996" i="4"/>
  <c r="U996" i="4" s="1"/>
  <c r="R996" i="4"/>
  <c r="W995" i="4"/>
  <c r="U995" i="4" s="1"/>
  <c r="R995" i="4"/>
  <c r="W994" i="4"/>
  <c r="U994" i="4" s="1"/>
  <c r="R994" i="4"/>
  <c r="W993" i="4"/>
  <c r="U993" i="4" s="1"/>
  <c r="R993" i="4"/>
  <c r="Z992" i="4"/>
  <c r="Y992" i="4"/>
  <c r="X992" i="4"/>
  <c r="V992" i="4"/>
  <c r="T992" i="4"/>
  <c r="S992" i="4"/>
  <c r="O992" i="4"/>
  <c r="L992" i="4"/>
  <c r="W990" i="4"/>
  <c r="U990" i="4" s="1"/>
  <c r="R990" i="4"/>
  <c r="W989" i="4"/>
  <c r="U989" i="4" s="1"/>
  <c r="R989" i="4"/>
  <c r="W988" i="4"/>
  <c r="U988" i="4" s="1"/>
  <c r="R988" i="4"/>
  <c r="W987" i="4"/>
  <c r="U987" i="4" s="1"/>
  <c r="R987" i="4"/>
  <c r="W986" i="4"/>
  <c r="U986" i="4" s="1"/>
  <c r="R986" i="4"/>
  <c r="W985" i="4"/>
  <c r="U985" i="4" s="1"/>
  <c r="R985" i="4"/>
  <c r="W984" i="4"/>
  <c r="U984" i="4" s="1"/>
  <c r="R984" i="4"/>
  <c r="W983" i="4"/>
  <c r="U983" i="4" s="1"/>
  <c r="R983" i="4"/>
  <c r="W982" i="4"/>
  <c r="U982" i="4" s="1"/>
  <c r="R982" i="4"/>
  <c r="W981" i="4"/>
  <c r="U981" i="4" s="1"/>
  <c r="R981" i="4"/>
  <c r="W980" i="4"/>
  <c r="U980" i="4" s="1"/>
  <c r="R980" i="4"/>
  <c r="W979" i="4"/>
  <c r="U979" i="4" s="1"/>
  <c r="R979" i="4"/>
  <c r="W978" i="4"/>
  <c r="U978" i="4" s="1"/>
  <c r="R978" i="4"/>
  <c r="W977" i="4"/>
  <c r="U977" i="4" s="1"/>
  <c r="R977" i="4"/>
  <c r="W976" i="4"/>
  <c r="U976" i="4" s="1"/>
  <c r="R976" i="4"/>
  <c r="W975" i="4"/>
  <c r="U975" i="4" s="1"/>
  <c r="R975" i="4"/>
  <c r="Z974" i="4"/>
  <c r="Y974" i="4"/>
  <c r="X974" i="4"/>
  <c r="V974" i="4"/>
  <c r="T974" i="4"/>
  <c r="S974" i="4"/>
  <c r="O974" i="4"/>
  <c r="L974" i="4"/>
  <c r="W972" i="4"/>
  <c r="U972" i="4" s="1"/>
  <c r="R972" i="4"/>
  <c r="W971" i="4"/>
  <c r="U971" i="4" s="1"/>
  <c r="R971" i="4"/>
  <c r="W970" i="4"/>
  <c r="U970" i="4" s="1"/>
  <c r="R970" i="4"/>
  <c r="W969" i="4"/>
  <c r="U969" i="4" s="1"/>
  <c r="R969" i="4"/>
  <c r="W968" i="4"/>
  <c r="U968" i="4" s="1"/>
  <c r="R968" i="4"/>
  <c r="W967" i="4"/>
  <c r="U967" i="4" s="1"/>
  <c r="R967" i="4"/>
  <c r="W966" i="4"/>
  <c r="U966" i="4" s="1"/>
  <c r="R966" i="4"/>
  <c r="W965" i="4"/>
  <c r="U965" i="4" s="1"/>
  <c r="R965" i="4"/>
  <c r="W964" i="4"/>
  <c r="U964" i="4" s="1"/>
  <c r="R964" i="4"/>
  <c r="W963" i="4"/>
  <c r="U963" i="4" s="1"/>
  <c r="R963" i="4"/>
  <c r="W962" i="4"/>
  <c r="U962" i="4" s="1"/>
  <c r="R962" i="4"/>
  <c r="W961" i="4"/>
  <c r="U961" i="4" s="1"/>
  <c r="R961" i="4"/>
  <c r="W960" i="4"/>
  <c r="U960" i="4" s="1"/>
  <c r="R960" i="4"/>
  <c r="W959" i="4"/>
  <c r="U959" i="4" s="1"/>
  <c r="R959" i="4"/>
  <c r="W958" i="4"/>
  <c r="U958" i="4" s="1"/>
  <c r="R958" i="4"/>
  <c r="W957" i="4"/>
  <c r="U957" i="4" s="1"/>
  <c r="R957" i="4"/>
  <c r="Z956" i="4"/>
  <c r="Y956" i="4"/>
  <c r="X956" i="4"/>
  <c r="V956" i="4"/>
  <c r="T956" i="4"/>
  <c r="S956" i="4"/>
  <c r="O956" i="4"/>
  <c r="L956" i="4"/>
  <c r="W954" i="4"/>
  <c r="U954" i="4" s="1"/>
  <c r="R954" i="4"/>
  <c r="W953" i="4"/>
  <c r="U953" i="4" s="1"/>
  <c r="R953" i="4"/>
  <c r="W952" i="4"/>
  <c r="U952" i="4" s="1"/>
  <c r="R952" i="4"/>
  <c r="W951" i="4"/>
  <c r="U951" i="4" s="1"/>
  <c r="R951" i="4"/>
  <c r="W950" i="4"/>
  <c r="U950" i="4" s="1"/>
  <c r="R950" i="4"/>
  <c r="W949" i="4"/>
  <c r="U949" i="4" s="1"/>
  <c r="R949" i="4"/>
  <c r="W948" i="4"/>
  <c r="U948" i="4" s="1"/>
  <c r="R948" i="4"/>
  <c r="W947" i="4"/>
  <c r="U947" i="4" s="1"/>
  <c r="R947" i="4"/>
  <c r="W946" i="4"/>
  <c r="U946" i="4" s="1"/>
  <c r="R946" i="4"/>
  <c r="W945" i="4"/>
  <c r="U945" i="4" s="1"/>
  <c r="R945" i="4"/>
  <c r="W944" i="4"/>
  <c r="U944" i="4" s="1"/>
  <c r="R944" i="4"/>
  <c r="W943" i="4"/>
  <c r="U943" i="4" s="1"/>
  <c r="R943" i="4"/>
  <c r="W942" i="4"/>
  <c r="U942" i="4" s="1"/>
  <c r="R942" i="4"/>
  <c r="W941" i="4"/>
  <c r="U941" i="4" s="1"/>
  <c r="R941" i="4"/>
  <c r="W940" i="4"/>
  <c r="U940" i="4" s="1"/>
  <c r="R940" i="4"/>
  <c r="W939" i="4"/>
  <c r="U939" i="4" s="1"/>
  <c r="R939" i="4"/>
  <c r="Z938" i="4"/>
  <c r="Y938" i="4"/>
  <c r="X938" i="4"/>
  <c r="V938" i="4"/>
  <c r="T938" i="4"/>
  <c r="S938" i="4"/>
  <c r="O938" i="4"/>
  <c r="L938" i="4"/>
  <c r="W936" i="4"/>
  <c r="U936" i="4" s="1"/>
  <c r="R936" i="4"/>
  <c r="W935" i="4"/>
  <c r="U935" i="4" s="1"/>
  <c r="R935" i="4"/>
  <c r="W934" i="4"/>
  <c r="U934" i="4" s="1"/>
  <c r="R934" i="4"/>
  <c r="W933" i="4"/>
  <c r="U933" i="4" s="1"/>
  <c r="R933" i="4"/>
  <c r="W932" i="4"/>
  <c r="U932" i="4" s="1"/>
  <c r="R932" i="4"/>
  <c r="W931" i="4"/>
  <c r="U931" i="4" s="1"/>
  <c r="R931" i="4"/>
  <c r="W930" i="4"/>
  <c r="U930" i="4" s="1"/>
  <c r="R930" i="4"/>
  <c r="W929" i="4"/>
  <c r="U929" i="4" s="1"/>
  <c r="R929" i="4"/>
  <c r="W928" i="4"/>
  <c r="U928" i="4" s="1"/>
  <c r="R928" i="4"/>
  <c r="W927" i="4"/>
  <c r="U927" i="4" s="1"/>
  <c r="R927" i="4"/>
  <c r="W926" i="4"/>
  <c r="U926" i="4" s="1"/>
  <c r="R926" i="4"/>
  <c r="W925" i="4"/>
  <c r="U925" i="4" s="1"/>
  <c r="R925" i="4"/>
  <c r="W924" i="4"/>
  <c r="U924" i="4" s="1"/>
  <c r="R924" i="4"/>
  <c r="W923" i="4"/>
  <c r="U923" i="4" s="1"/>
  <c r="R923" i="4"/>
  <c r="W922" i="4"/>
  <c r="U922" i="4" s="1"/>
  <c r="R922" i="4"/>
  <c r="W921" i="4"/>
  <c r="U921" i="4" s="1"/>
  <c r="R921" i="4"/>
  <c r="Z920" i="4"/>
  <c r="Y920" i="4"/>
  <c r="X920" i="4"/>
  <c r="V920" i="4"/>
  <c r="T920" i="4"/>
  <c r="S920" i="4"/>
  <c r="O920" i="4"/>
  <c r="L920" i="4"/>
  <c r="W918" i="4"/>
  <c r="U918" i="4" s="1"/>
  <c r="R918" i="4"/>
  <c r="W917" i="4"/>
  <c r="U917" i="4" s="1"/>
  <c r="R917" i="4"/>
  <c r="W916" i="4"/>
  <c r="U916" i="4" s="1"/>
  <c r="R916" i="4"/>
  <c r="W915" i="4"/>
  <c r="U915" i="4" s="1"/>
  <c r="R915" i="4"/>
  <c r="W914" i="4"/>
  <c r="U914" i="4" s="1"/>
  <c r="R914" i="4"/>
  <c r="W913" i="4"/>
  <c r="U913" i="4" s="1"/>
  <c r="R913" i="4"/>
  <c r="W912" i="4"/>
  <c r="U912" i="4" s="1"/>
  <c r="R912" i="4"/>
  <c r="W911" i="4"/>
  <c r="U911" i="4" s="1"/>
  <c r="R911" i="4"/>
  <c r="W910" i="4"/>
  <c r="U910" i="4" s="1"/>
  <c r="R910" i="4"/>
  <c r="W909" i="4"/>
  <c r="U909" i="4" s="1"/>
  <c r="R909" i="4"/>
  <c r="W908" i="4"/>
  <c r="U908" i="4" s="1"/>
  <c r="R908" i="4"/>
  <c r="W907" i="4"/>
  <c r="U907" i="4" s="1"/>
  <c r="R907" i="4"/>
  <c r="W906" i="4"/>
  <c r="U906" i="4" s="1"/>
  <c r="R906" i="4"/>
  <c r="W905" i="4"/>
  <c r="U905" i="4" s="1"/>
  <c r="R905" i="4"/>
  <c r="W904" i="4"/>
  <c r="U904" i="4" s="1"/>
  <c r="R904" i="4"/>
  <c r="W903" i="4"/>
  <c r="U903" i="4" s="1"/>
  <c r="R903" i="4"/>
  <c r="Z902" i="4"/>
  <c r="Y902" i="4"/>
  <c r="X902" i="4"/>
  <c r="V902" i="4"/>
  <c r="T902" i="4"/>
  <c r="S902" i="4"/>
  <c r="O902" i="4"/>
  <c r="L902" i="4"/>
  <c r="W900" i="4"/>
  <c r="U900" i="4" s="1"/>
  <c r="R900" i="4"/>
  <c r="W899" i="4"/>
  <c r="U899" i="4" s="1"/>
  <c r="R899" i="4"/>
  <c r="W898" i="4"/>
  <c r="U898" i="4" s="1"/>
  <c r="R898" i="4"/>
  <c r="W897" i="4"/>
  <c r="U897" i="4" s="1"/>
  <c r="R897" i="4"/>
  <c r="W896" i="4"/>
  <c r="U896" i="4" s="1"/>
  <c r="R896" i="4"/>
  <c r="W895" i="4"/>
  <c r="U895" i="4" s="1"/>
  <c r="R895" i="4"/>
  <c r="W894" i="4"/>
  <c r="U894" i="4" s="1"/>
  <c r="R894" i="4"/>
  <c r="W893" i="4"/>
  <c r="U893" i="4" s="1"/>
  <c r="R893" i="4"/>
  <c r="W892" i="4"/>
  <c r="U892" i="4" s="1"/>
  <c r="R892" i="4"/>
  <c r="W891" i="4"/>
  <c r="U891" i="4" s="1"/>
  <c r="R891" i="4"/>
  <c r="W890" i="4"/>
  <c r="U890" i="4" s="1"/>
  <c r="R890" i="4"/>
  <c r="W889" i="4"/>
  <c r="U889" i="4" s="1"/>
  <c r="R889" i="4"/>
  <c r="W888" i="4"/>
  <c r="U888" i="4" s="1"/>
  <c r="R888" i="4"/>
  <c r="W887" i="4"/>
  <c r="U887" i="4" s="1"/>
  <c r="R887" i="4"/>
  <c r="W886" i="4"/>
  <c r="U886" i="4" s="1"/>
  <c r="R886" i="4"/>
  <c r="W885" i="4"/>
  <c r="U885" i="4" s="1"/>
  <c r="R885" i="4"/>
  <c r="Z884" i="4"/>
  <c r="Y884" i="4"/>
  <c r="X884" i="4"/>
  <c r="V884" i="4"/>
  <c r="T884" i="4"/>
  <c r="S884" i="4"/>
  <c r="O884" i="4"/>
  <c r="L884" i="4"/>
  <c r="W882" i="4"/>
  <c r="U882" i="4" s="1"/>
  <c r="R882" i="4"/>
  <c r="W881" i="4"/>
  <c r="U881" i="4" s="1"/>
  <c r="R881" i="4"/>
  <c r="W880" i="4"/>
  <c r="U880" i="4" s="1"/>
  <c r="R880" i="4"/>
  <c r="W879" i="4"/>
  <c r="U879" i="4" s="1"/>
  <c r="R879" i="4"/>
  <c r="W878" i="4"/>
  <c r="U878" i="4" s="1"/>
  <c r="R878" i="4"/>
  <c r="W877" i="4"/>
  <c r="U877" i="4" s="1"/>
  <c r="R877" i="4"/>
  <c r="W876" i="4"/>
  <c r="U876" i="4" s="1"/>
  <c r="R876" i="4"/>
  <c r="W875" i="4"/>
  <c r="U875" i="4" s="1"/>
  <c r="R875" i="4"/>
  <c r="W874" i="4"/>
  <c r="U874" i="4" s="1"/>
  <c r="R874" i="4"/>
  <c r="W873" i="4"/>
  <c r="U873" i="4" s="1"/>
  <c r="R873" i="4"/>
  <c r="W872" i="4"/>
  <c r="U872" i="4" s="1"/>
  <c r="R872" i="4"/>
  <c r="W871" i="4"/>
  <c r="U871" i="4" s="1"/>
  <c r="R871" i="4"/>
  <c r="W870" i="4"/>
  <c r="U870" i="4" s="1"/>
  <c r="R870" i="4"/>
  <c r="W869" i="4"/>
  <c r="U869" i="4" s="1"/>
  <c r="R869" i="4"/>
  <c r="W868" i="4"/>
  <c r="U868" i="4" s="1"/>
  <c r="R868" i="4"/>
  <c r="W867" i="4"/>
  <c r="U867" i="4" s="1"/>
  <c r="R867" i="4"/>
  <c r="Z866" i="4"/>
  <c r="Y866" i="4"/>
  <c r="X866" i="4"/>
  <c r="V866" i="4"/>
  <c r="T866" i="4"/>
  <c r="S866" i="4"/>
  <c r="O866" i="4"/>
  <c r="L866" i="4"/>
  <c r="W864" i="4"/>
  <c r="U864" i="4" s="1"/>
  <c r="R864" i="4"/>
  <c r="W863" i="4"/>
  <c r="U863" i="4" s="1"/>
  <c r="R863" i="4"/>
  <c r="W862" i="4"/>
  <c r="U862" i="4" s="1"/>
  <c r="R862" i="4"/>
  <c r="W861" i="4"/>
  <c r="U861" i="4" s="1"/>
  <c r="R861" i="4"/>
  <c r="W860" i="4"/>
  <c r="U860" i="4" s="1"/>
  <c r="R860" i="4"/>
  <c r="W859" i="4"/>
  <c r="U859" i="4" s="1"/>
  <c r="R859" i="4"/>
  <c r="W858" i="4"/>
  <c r="U858" i="4" s="1"/>
  <c r="R858" i="4"/>
  <c r="W857" i="4"/>
  <c r="U857" i="4" s="1"/>
  <c r="R857" i="4"/>
  <c r="W856" i="4"/>
  <c r="U856" i="4" s="1"/>
  <c r="R856" i="4"/>
  <c r="W855" i="4"/>
  <c r="U855" i="4" s="1"/>
  <c r="R855" i="4"/>
  <c r="W854" i="4"/>
  <c r="U854" i="4" s="1"/>
  <c r="R854" i="4"/>
  <c r="W853" i="4"/>
  <c r="U853" i="4" s="1"/>
  <c r="R853" i="4"/>
  <c r="W852" i="4"/>
  <c r="U852" i="4" s="1"/>
  <c r="R852" i="4"/>
  <c r="W851" i="4"/>
  <c r="U851" i="4" s="1"/>
  <c r="R851" i="4"/>
  <c r="W850" i="4"/>
  <c r="U850" i="4" s="1"/>
  <c r="R850" i="4"/>
  <c r="W849" i="4"/>
  <c r="U849" i="4" s="1"/>
  <c r="R849" i="4"/>
  <c r="Z848" i="4"/>
  <c r="Y848" i="4"/>
  <c r="X848" i="4"/>
  <c r="V848" i="4"/>
  <c r="T848" i="4"/>
  <c r="S848" i="4"/>
  <c r="O848" i="4"/>
  <c r="L848" i="4"/>
  <c r="W846" i="4"/>
  <c r="U846" i="4" s="1"/>
  <c r="R846" i="4"/>
  <c r="W845" i="4"/>
  <c r="U845" i="4" s="1"/>
  <c r="R845" i="4"/>
  <c r="W844" i="4"/>
  <c r="U844" i="4" s="1"/>
  <c r="R844" i="4"/>
  <c r="W843" i="4"/>
  <c r="U843" i="4" s="1"/>
  <c r="R843" i="4"/>
  <c r="W842" i="4"/>
  <c r="U842" i="4" s="1"/>
  <c r="R842" i="4"/>
  <c r="W841" i="4"/>
  <c r="U841" i="4" s="1"/>
  <c r="R841" i="4"/>
  <c r="W840" i="4"/>
  <c r="U840" i="4" s="1"/>
  <c r="R840" i="4"/>
  <c r="W839" i="4"/>
  <c r="U839" i="4" s="1"/>
  <c r="R839" i="4"/>
  <c r="W838" i="4"/>
  <c r="U838" i="4" s="1"/>
  <c r="R838" i="4"/>
  <c r="W837" i="4"/>
  <c r="U837" i="4" s="1"/>
  <c r="R837" i="4"/>
  <c r="W836" i="4"/>
  <c r="U836" i="4" s="1"/>
  <c r="R836" i="4"/>
  <c r="W835" i="4"/>
  <c r="U835" i="4" s="1"/>
  <c r="R835" i="4"/>
  <c r="W834" i="4"/>
  <c r="U834" i="4" s="1"/>
  <c r="R834" i="4"/>
  <c r="W833" i="4"/>
  <c r="U833" i="4" s="1"/>
  <c r="R833" i="4"/>
  <c r="W832" i="4"/>
  <c r="U832" i="4" s="1"/>
  <c r="R832" i="4"/>
  <c r="W831" i="4"/>
  <c r="U831" i="4" s="1"/>
  <c r="R831" i="4"/>
  <c r="Z830" i="4"/>
  <c r="Y830" i="4"/>
  <c r="X830" i="4"/>
  <c r="V830" i="4"/>
  <c r="T830" i="4"/>
  <c r="S830" i="4"/>
  <c r="O830" i="4"/>
  <c r="L830" i="4"/>
  <c r="W828" i="4"/>
  <c r="U828" i="4" s="1"/>
  <c r="R828" i="4"/>
  <c r="W827" i="4"/>
  <c r="U827" i="4" s="1"/>
  <c r="R827" i="4"/>
  <c r="W826" i="4"/>
  <c r="U826" i="4" s="1"/>
  <c r="R826" i="4"/>
  <c r="W825" i="4"/>
  <c r="U825" i="4" s="1"/>
  <c r="R825" i="4"/>
  <c r="W824" i="4"/>
  <c r="U824" i="4" s="1"/>
  <c r="R824" i="4"/>
  <c r="W823" i="4"/>
  <c r="U823" i="4" s="1"/>
  <c r="R823" i="4"/>
  <c r="W822" i="4"/>
  <c r="U822" i="4" s="1"/>
  <c r="R822" i="4"/>
  <c r="W821" i="4"/>
  <c r="U821" i="4" s="1"/>
  <c r="R821" i="4"/>
  <c r="W820" i="4"/>
  <c r="U820" i="4" s="1"/>
  <c r="R820" i="4"/>
  <c r="W819" i="4"/>
  <c r="U819" i="4" s="1"/>
  <c r="R819" i="4"/>
  <c r="W818" i="4"/>
  <c r="U818" i="4" s="1"/>
  <c r="R818" i="4"/>
  <c r="W817" i="4"/>
  <c r="U817" i="4" s="1"/>
  <c r="R817" i="4"/>
  <c r="W816" i="4"/>
  <c r="U816" i="4" s="1"/>
  <c r="R816" i="4"/>
  <c r="W815" i="4"/>
  <c r="U815" i="4" s="1"/>
  <c r="R815" i="4"/>
  <c r="W814" i="4"/>
  <c r="U814" i="4" s="1"/>
  <c r="R814" i="4"/>
  <c r="W813" i="4"/>
  <c r="U813" i="4" s="1"/>
  <c r="R813" i="4"/>
  <c r="Z812" i="4"/>
  <c r="Y812" i="4"/>
  <c r="X812" i="4"/>
  <c r="V812" i="4"/>
  <c r="T812" i="4"/>
  <c r="S812" i="4"/>
  <c r="O812" i="4"/>
  <c r="L812" i="4"/>
  <c r="W810" i="4"/>
  <c r="U810" i="4" s="1"/>
  <c r="R810" i="4"/>
  <c r="W809" i="4"/>
  <c r="U809" i="4" s="1"/>
  <c r="R809" i="4"/>
  <c r="W808" i="4"/>
  <c r="U808" i="4" s="1"/>
  <c r="R808" i="4"/>
  <c r="W807" i="4"/>
  <c r="U807" i="4" s="1"/>
  <c r="R807" i="4"/>
  <c r="W806" i="4"/>
  <c r="U806" i="4" s="1"/>
  <c r="R806" i="4"/>
  <c r="W805" i="4"/>
  <c r="U805" i="4" s="1"/>
  <c r="R805" i="4"/>
  <c r="W804" i="4"/>
  <c r="U804" i="4" s="1"/>
  <c r="R804" i="4"/>
  <c r="W803" i="4"/>
  <c r="U803" i="4" s="1"/>
  <c r="R803" i="4"/>
  <c r="W802" i="4"/>
  <c r="U802" i="4" s="1"/>
  <c r="R802" i="4"/>
  <c r="W801" i="4"/>
  <c r="U801" i="4" s="1"/>
  <c r="R801" i="4"/>
  <c r="W800" i="4"/>
  <c r="U800" i="4" s="1"/>
  <c r="R800" i="4"/>
  <c r="W799" i="4"/>
  <c r="U799" i="4" s="1"/>
  <c r="R799" i="4"/>
  <c r="W798" i="4"/>
  <c r="U798" i="4" s="1"/>
  <c r="R798" i="4"/>
  <c r="W797" i="4"/>
  <c r="U797" i="4" s="1"/>
  <c r="R797" i="4"/>
  <c r="W796" i="4"/>
  <c r="U796" i="4" s="1"/>
  <c r="R796" i="4"/>
  <c r="W795" i="4"/>
  <c r="U795" i="4" s="1"/>
  <c r="R795" i="4"/>
  <c r="Z794" i="4"/>
  <c r="Y794" i="4"/>
  <c r="X794" i="4"/>
  <c r="V794" i="4"/>
  <c r="T794" i="4"/>
  <c r="S794" i="4"/>
  <c r="O794" i="4"/>
  <c r="L794" i="4"/>
  <c r="W792" i="4"/>
  <c r="U792" i="4" s="1"/>
  <c r="R792" i="4"/>
  <c r="W791" i="4"/>
  <c r="U791" i="4" s="1"/>
  <c r="R791" i="4"/>
  <c r="W790" i="4"/>
  <c r="U790" i="4" s="1"/>
  <c r="R790" i="4"/>
  <c r="W789" i="4"/>
  <c r="U789" i="4" s="1"/>
  <c r="R789" i="4"/>
  <c r="W788" i="4"/>
  <c r="U788" i="4" s="1"/>
  <c r="R788" i="4"/>
  <c r="W787" i="4"/>
  <c r="U787" i="4" s="1"/>
  <c r="R787" i="4"/>
  <c r="W786" i="4"/>
  <c r="U786" i="4" s="1"/>
  <c r="R786" i="4"/>
  <c r="W785" i="4"/>
  <c r="U785" i="4" s="1"/>
  <c r="R785" i="4"/>
  <c r="W784" i="4"/>
  <c r="U784" i="4" s="1"/>
  <c r="R784" i="4"/>
  <c r="W783" i="4"/>
  <c r="U783" i="4" s="1"/>
  <c r="R783" i="4"/>
  <c r="W782" i="4"/>
  <c r="U782" i="4" s="1"/>
  <c r="R782" i="4"/>
  <c r="W781" i="4"/>
  <c r="U781" i="4" s="1"/>
  <c r="R781" i="4"/>
  <c r="W780" i="4"/>
  <c r="U780" i="4" s="1"/>
  <c r="R780" i="4"/>
  <c r="W779" i="4"/>
  <c r="U779" i="4" s="1"/>
  <c r="R779" i="4"/>
  <c r="W778" i="4"/>
  <c r="U778" i="4" s="1"/>
  <c r="R778" i="4"/>
  <c r="W777" i="4"/>
  <c r="U777" i="4" s="1"/>
  <c r="R777" i="4"/>
  <c r="Z776" i="4"/>
  <c r="Y776" i="4"/>
  <c r="X776" i="4"/>
  <c r="V776" i="4"/>
  <c r="T776" i="4"/>
  <c r="S776" i="4"/>
  <c r="O776" i="4"/>
  <c r="L776" i="4"/>
  <c r="W774" i="4"/>
  <c r="U774" i="4" s="1"/>
  <c r="R774" i="4"/>
  <c r="W773" i="4"/>
  <c r="U773" i="4" s="1"/>
  <c r="R773" i="4"/>
  <c r="W772" i="4"/>
  <c r="U772" i="4" s="1"/>
  <c r="R772" i="4"/>
  <c r="W771" i="4"/>
  <c r="U771" i="4" s="1"/>
  <c r="R771" i="4"/>
  <c r="W770" i="4"/>
  <c r="U770" i="4" s="1"/>
  <c r="R770" i="4"/>
  <c r="W769" i="4"/>
  <c r="U769" i="4" s="1"/>
  <c r="R769" i="4"/>
  <c r="W768" i="4"/>
  <c r="U768" i="4" s="1"/>
  <c r="R768" i="4"/>
  <c r="W767" i="4"/>
  <c r="U767" i="4" s="1"/>
  <c r="R767" i="4"/>
  <c r="W766" i="4"/>
  <c r="U766" i="4" s="1"/>
  <c r="R766" i="4"/>
  <c r="W765" i="4"/>
  <c r="U765" i="4" s="1"/>
  <c r="R765" i="4"/>
  <c r="W764" i="4"/>
  <c r="U764" i="4" s="1"/>
  <c r="R764" i="4"/>
  <c r="W763" i="4"/>
  <c r="U763" i="4" s="1"/>
  <c r="R763" i="4"/>
  <c r="W762" i="4"/>
  <c r="U762" i="4" s="1"/>
  <c r="R762" i="4"/>
  <c r="W761" i="4"/>
  <c r="U761" i="4" s="1"/>
  <c r="R761" i="4"/>
  <c r="W760" i="4"/>
  <c r="U760" i="4" s="1"/>
  <c r="R760" i="4"/>
  <c r="W759" i="4"/>
  <c r="U759" i="4" s="1"/>
  <c r="R759" i="4"/>
  <c r="Z758" i="4"/>
  <c r="Y758" i="4"/>
  <c r="X758" i="4"/>
  <c r="V758" i="4"/>
  <c r="T758" i="4"/>
  <c r="S758" i="4"/>
  <c r="O758" i="4"/>
  <c r="L758" i="4"/>
  <c r="W756" i="4"/>
  <c r="U756" i="4" s="1"/>
  <c r="R756" i="4"/>
  <c r="W755" i="4"/>
  <c r="U755" i="4" s="1"/>
  <c r="R755" i="4"/>
  <c r="W754" i="4"/>
  <c r="U754" i="4" s="1"/>
  <c r="R754" i="4"/>
  <c r="W753" i="4"/>
  <c r="U753" i="4" s="1"/>
  <c r="R753" i="4"/>
  <c r="W752" i="4"/>
  <c r="U752" i="4" s="1"/>
  <c r="R752" i="4"/>
  <c r="W751" i="4"/>
  <c r="U751" i="4" s="1"/>
  <c r="R751" i="4"/>
  <c r="W750" i="4"/>
  <c r="U750" i="4" s="1"/>
  <c r="R750" i="4"/>
  <c r="W749" i="4"/>
  <c r="R749" i="4"/>
  <c r="W748" i="4"/>
  <c r="U748" i="4" s="1"/>
  <c r="R748" i="4"/>
  <c r="W747" i="4"/>
  <c r="U747" i="4" s="1"/>
  <c r="R747" i="4"/>
  <c r="W746" i="4"/>
  <c r="U746" i="4" s="1"/>
  <c r="R746" i="4"/>
  <c r="W745" i="4"/>
  <c r="U745" i="4" s="1"/>
  <c r="R745" i="4"/>
  <c r="W744" i="4"/>
  <c r="U744" i="4" s="1"/>
  <c r="R744" i="4"/>
  <c r="W743" i="4"/>
  <c r="U743" i="4" s="1"/>
  <c r="R743" i="4"/>
  <c r="W742" i="4"/>
  <c r="U742" i="4" s="1"/>
  <c r="R742" i="4"/>
  <c r="W741" i="4"/>
  <c r="U741" i="4" s="1"/>
  <c r="R741" i="4"/>
  <c r="Z740" i="4"/>
  <c r="Y740" i="4"/>
  <c r="X740" i="4"/>
  <c r="V740" i="4"/>
  <c r="T740" i="4"/>
  <c r="S740" i="4"/>
  <c r="O740" i="4"/>
  <c r="L740" i="4"/>
  <c r="W738" i="4"/>
  <c r="U738" i="4" s="1"/>
  <c r="R738" i="4"/>
  <c r="W737" i="4"/>
  <c r="U737" i="4" s="1"/>
  <c r="R737" i="4"/>
  <c r="W736" i="4"/>
  <c r="U736" i="4" s="1"/>
  <c r="R736" i="4"/>
  <c r="W735" i="4"/>
  <c r="U735" i="4" s="1"/>
  <c r="R735" i="4"/>
  <c r="W734" i="4"/>
  <c r="U734" i="4" s="1"/>
  <c r="R734" i="4"/>
  <c r="W733" i="4"/>
  <c r="U733" i="4" s="1"/>
  <c r="R733" i="4"/>
  <c r="W732" i="4"/>
  <c r="U732" i="4" s="1"/>
  <c r="R732" i="4"/>
  <c r="W731" i="4"/>
  <c r="U731" i="4" s="1"/>
  <c r="R731" i="4"/>
  <c r="W730" i="4"/>
  <c r="U730" i="4" s="1"/>
  <c r="R730" i="4"/>
  <c r="W729" i="4"/>
  <c r="U729" i="4" s="1"/>
  <c r="R729" i="4"/>
  <c r="W728" i="4"/>
  <c r="U728" i="4" s="1"/>
  <c r="R728" i="4"/>
  <c r="W727" i="4"/>
  <c r="U727" i="4" s="1"/>
  <c r="R727" i="4"/>
  <c r="W726" i="4"/>
  <c r="U726" i="4" s="1"/>
  <c r="R726" i="4"/>
  <c r="W725" i="4"/>
  <c r="U725" i="4" s="1"/>
  <c r="R725" i="4"/>
  <c r="W724" i="4"/>
  <c r="U724" i="4" s="1"/>
  <c r="R724" i="4"/>
  <c r="W723" i="4"/>
  <c r="U723" i="4" s="1"/>
  <c r="R723" i="4"/>
  <c r="Z722" i="4"/>
  <c r="Y722" i="4"/>
  <c r="X722" i="4"/>
  <c r="V722" i="4"/>
  <c r="T722" i="4"/>
  <c r="S722" i="4"/>
  <c r="O722" i="4"/>
  <c r="L722" i="4"/>
  <c r="W720" i="4"/>
  <c r="U720" i="4" s="1"/>
  <c r="R720" i="4"/>
  <c r="W719" i="4"/>
  <c r="U719" i="4" s="1"/>
  <c r="R719" i="4"/>
  <c r="W718" i="4"/>
  <c r="U718" i="4" s="1"/>
  <c r="R718" i="4"/>
  <c r="W717" i="4"/>
  <c r="U717" i="4" s="1"/>
  <c r="R717" i="4"/>
  <c r="W716" i="4"/>
  <c r="U716" i="4" s="1"/>
  <c r="R716" i="4"/>
  <c r="W715" i="4"/>
  <c r="U715" i="4" s="1"/>
  <c r="R715" i="4"/>
  <c r="W714" i="4"/>
  <c r="U714" i="4" s="1"/>
  <c r="R714" i="4"/>
  <c r="W713" i="4"/>
  <c r="R713" i="4"/>
  <c r="W712" i="4"/>
  <c r="U712" i="4" s="1"/>
  <c r="R712" i="4"/>
  <c r="W711" i="4"/>
  <c r="U711" i="4" s="1"/>
  <c r="R711" i="4"/>
  <c r="W710" i="4"/>
  <c r="U710" i="4" s="1"/>
  <c r="R710" i="4"/>
  <c r="W709" i="4"/>
  <c r="U709" i="4" s="1"/>
  <c r="R709" i="4"/>
  <c r="W708" i="4"/>
  <c r="U708" i="4" s="1"/>
  <c r="R708" i="4"/>
  <c r="W707" i="4"/>
  <c r="U707" i="4" s="1"/>
  <c r="R707" i="4"/>
  <c r="W706" i="4"/>
  <c r="U706" i="4" s="1"/>
  <c r="R706" i="4"/>
  <c r="W705" i="4"/>
  <c r="U705" i="4" s="1"/>
  <c r="R705" i="4"/>
  <c r="Z704" i="4"/>
  <c r="Y704" i="4"/>
  <c r="X704" i="4"/>
  <c r="V704" i="4"/>
  <c r="T704" i="4"/>
  <c r="S704" i="4"/>
  <c r="O704" i="4"/>
  <c r="L704" i="4"/>
  <c r="W702" i="4"/>
  <c r="U702" i="4" s="1"/>
  <c r="R702" i="4"/>
  <c r="W701" i="4"/>
  <c r="U701" i="4" s="1"/>
  <c r="R701" i="4"/>
  <c r="W700" i="4"/>
  <c r="U700" i="4" s="1"/>
  <c r="R700" i="4"/>
  <c r="W699" i="4"/>
  <c r="U699" i="4" s="1"/>
  <c r="R699" i="4"/>
  <c r="W698" i="4"/>
  <c r="U698" i="4" s="1"/>
  <c r="R698" i="4"/>
  <c r="W697" i="4"/>
  <c r="U697" i="4" s="1"/>
  <c r="R697" i="4"/>
  <c r="W696" i="4"/>
  <c r="U696" i="4" s="1"/>
  <c r="R696" i="4"/>
  <c r="W695" i="4"/>
  <c r="U695" i="4" s="1"/>
  <c r="R695" i="4"/>
  <c r="W694" i="4"/>
  <c r="U694" i="4" s="1"/>
  <c r="R694" i="4"/>
  <c r="W693" i="4"/>
  <c r="U693" i="4" s="1"/>
  <c r="R693" i="4"/>
  <c r="W692" i="4"/>
  <c r="U692" i="4" s="1"/>
  <c r="R692" i="4"/>
  <c r="W691" i="4"/>
  <c r="U691" i="4" s="1"/>
  <c r="R691" i="4"/>
  <c r="W690" i="4"/>
  <c r="U690" i="4" s="1"/>
  <c r="R690" i="4"/>
  <c r="W689" i="4"/>
  <c r="U689" i="4" s="1"/>
  <c r="R689" i="4"/>
  <c r="W688" i="4"/>
  <c r="U688" i="4" s="1"/>
  <c r="R688" i="4"/>
  <c r="W687" i="4"/>
  <c r="U687" i="4" s="1"/>
  <c r="R687" i="4"/>
  <c r="Z686" i="4"/>
  <c r="Y686" i="4"/>
  <c r="X686" i="4"/>
  <c r="V686" i="4"/>
  <c r="T686" i="4"/>
  <c r="S686" i="4"/>
  <c r="O686" i="4"/>
  <c r="L686" i="4"/>
  <c r="W684" i="4"/>
  <c r="U684" i="4" s="1"/>
  <c r="R684" i="4"/>
  <c r="W683" i="4"/>
  <c r="U683" i="4" s="1"/>
  <c r="R683" i="4"/>
  <c r="W682" i="4"/>
  <c r="U682" i="4" s="1"/>
  <c r="R682" i="4"/>
  <c r="W681" i="4"/>
  <c r="U681" i="4" s="1"/>
  <c r="R681" i="4"/>
  <c r="W680" i="4"/>
  <c r="U680" i="4" s="1"/>
  <c r="R680" i="4"/>
  <c r="W679" i="4"/>
  <c r="U679" i="4" s="1"/>
  <c r="R679" i="4"/>
  <c r="W678" i="4"/>
  <c r="U678" i="4" s="1"/>
  <c r="R678" i="4"/>
  <c r="W677" i="4"/>
  <c r="R677" i="4"/>
  <c r="W676" i="4"/>
  <c r="U676" i="4" s="1"/>
  <c r="R676" i="4"/>
  <c r="W675" i="4"/>
  <c r="U675" i="4" s="1"/>
  <c r="R675" i="4"/>
  <c r="W674" i="4"/>
  <c r="U674" i="4" s="1"/>
  <c r="R674" i="4"/>
  <c r="W673" i="4"/>
  <c r="U673" i="4" s="1"/>
  <c r="R673" i="4"/>
  <c r="W672" i="4"/>
  <c r="U672" i="4" s="1"/>
  <c r="R672" i="4"/>
  <c r="W671" i="4"/>
  <c r="U671" i="4" s="1"/>
  <c r="R671" i="4"/>
  <c r="W670" i="4"/>
  <c r="U670" i="4" s="1"/>
  <c r="R670" i="4"/>
  <c r="W669" i="4"/>
  <c r="U669" i="4" s="1"/>
  <c r="R669" i="4"/>
  <c r="Z668" i="4"/>
  <c r="Y668" i="4"/>
  <c r="X668" i="4"/>
  <c r="V668" i="4"/>
  <c r="T668" i="4"/>
  <c r="S668" i="4"/>
  <c r="O668" i="4"/>
  <c r="L668" i="4"/>
  <c r="W666" i="4"/>
  <c r="U666" i="4" s="1"/>
  <c r="R666" i="4"/>
  <c r="W665" i="4"/>
  <c r="U665" i="4" s="1"/>
  <c r="R665" i="4"/>
  <c r="W664" i="4"/>
  <c r="U664" i="4" s="1"/>
  <c r="R664" i="4"/>
  <c r="W663" i="4"/>
  <c r="U663" i="4" s="1"/>
  <c r="R663" i="4"/>
  <c r="W662" i="4"/>
  <c r="U662" i="4" s="1"/>
  <c r="R662" i="4"/>
  <c r="W661" i="4"/>
  <c r="U661" i="4" s="1"/>
  <c r="R661" i="4"/>
  <c r="W660" i="4"/>
  <c r="U660" i="4" s="1"/>
  <c r="R660" i="4"/>
  <c r="W659" i="4"/>
  <c r="U659" i="4" s="1"/>
  <c r="R659" i="4"/>
  <c r="W658" i="4"/>
  <c r="U658" i="4" s="1"/>
  <c r="R658" i="4"/>
  <c r="W657" i="4"/>
  <c r="U657" i="4" s="1"/>
  <c r="R657" i="4"/>
  <c r="W656" i="4"/>
  <c r="U656" i="4" s="1"/>
  <c r="R656" i="4"/>
  <c r="W655" i="4"/>
  <c r="U655" i="4" s="1"/>
  <c r="R655" i="4"/>
  <c r="W654" i="4"/>
  <c r="U654" i="4" s="1"/>
  <c r="R654" i="4"/>
  <c r="W653" i="4"/>
  <c r="U653" i="4" s="1"/>
  <c r="R653" i="4"/>
  <c r="W652" i="4"/>
  <c r="U652" i="4" s="1"/>
  <c r="R652" i="4"/>
  <c r="W651" i="4"/>
  <c r="U651" i="4" s="1"/>
  <c r="R651" i="4"/>
  <c r="Z650" i="4"/>
  <c r="Y650" i="4"/>
  <c r="X650" i="4"/>
  <c r="V650" i="4"/>
  <c r="T650" i="4"/>
  <c r="S650" i="4"/>
  <c r="O650" i="4"/>
  <c r="L650" i="4"/>
  <c r="W648" i="4"/>
  <c r="U648" i="4" s="1"/>
  <c r="R648" i="4"/>
  <c r="W647" i="4"/>
  <c r="U647" i="4" s="1"/>
  <c r="R647" i="4"/>
  <c r="W646" i="4"/>
  <c r="U646" i="4" s="1"/>
  <c r="R646" i="4"/>
  <c r="W645" i="4"/>
  <c r="U645" i="4" s="1"/>
  <c r="R645" i="4"/>
  <c r="W644" i="4"/>
  <c r="U644" i="4" s="1"/>
  <c r="R644" i="4"/>
  <c r="W643" i="4"/>
  <c r="U643" i="4" s="1"/>
  <c r="R643" i="4"/>
  <c r="W642" i="4"/>
  <c r="U642" i="4" s="1"/>
  <c r="R642" i="4"/>
  <c r="W641" i="4"/>
  <c r="R641" i="4"/>
  <c r="W640" i="4"/>
  <c r="U640" i="4" s="1"/>
  <c r="R640" i="4"/>
  <c r="W639" i="4"/>
  <c r="U639" i="4" s="1"/>
  <c r="R639" i="4"/>
  <c r="W638" i="4"/>
  <c r="U638" i="4" s="1"/>
  <c r="R638" i="4"/>
  <c r="W637" i="4"/>
  <c r="U637" i="4" s="1"/>
  <c r="R637" i="4"/>
  <c r="W636" i="4"/>
  <c r="U636" i="4" s="1"/>
  <c r="R636" i="4"/>
  <c r="W635" i="4"/>
  <c r="U635" i="4" s="1"/>
  <c r="R635" i="4"/>
  <c r="W634" i="4"/>
  <c r="U634" i="4" s="1"/>
  <c r="R634" i="4"/>
  <c r="W633" i="4"/>
  <c r="U633" i="4" s="1"/>
  <c r="R633" i="4"/>
  <c r="Z632" i="4"/>
  <c r="Y632" i="4"/>
  <c r="X632" i="4"/>
  <c r="V632" i="4"/>
  <c r="T632" i="4"/>
  <c r="S632" i="4"/>
  <c r="O632" i="4"/>
  <c r="L632" i="4"/>
  <c r="W630" i="4"/>
  <c r="U630" i="4" s="1"/>
  <c r="R630" i="4"/>
  <c r="W629" i="4"/>
  <c r="U629" i="4" s="1"/>
  <c r="R629" i="4"/>
  <c r="W628" i="4"/>
  <c r="U628" i="4" s="1"/>
  <c r="R628" i="4"/>
  <c r="W627" i="4"/>
  <c r="U627" i="4" s="1"/>
  <c r="R627" i="4"/>
  <c r="W626" i="4"/>
  <c r="U626" i="4" s="1"/>
  <c r="R626" i="4"/>
  <c r="W625" i="4"/>
  <c r="U625" i="4" s="1"/>
  <c r="R625" i="4"/>
  <c r="W624" i="4"/>
  <c r="U624" i="4" s="1"/>
  <c r="R624" i="4"/>
  <c r="W623" i="4"/>
  <c r="U623" i="4" s="1"/>
  <c r="R623" i="4"/>
  <c r="W622" i="4"/>
  <c r="U622" i="4" s="1"/>
  <c r="R622" i="4"/>
  <c r="W621" i="4"/>
  <c r="U621" i="4" s="1"/>
  <c r="R621" i="4"/>
  <c r="W620" i="4"/>
  <c r="U620" i="4" s="1"/>
  <c r="R620" i="4"/>
  <c r="W619" i="4"/>
  <c r="U619" i="4" s="1"/>
  <c r="R619" i="4"/>
  <c r="W618" i="4"/>
  <c r="U618" i="4" s="1"/>
  <c r="R618" i="4"/>
  <c r="W617" i="4"/>
  <c r="U617" i="4" s="1"/>
  <c r="R617" i="4"/>
  <c r="W616" i="4"/>
  <c r="U616" i="4" s="1"/>
  <c r="R616" i="4"/>
  <c r="W615" i="4"/>
  <c r="U615" i="4" s="1"/>
  <c r="R615" i="4"/>
  <c r="Z614" i="4"/>
  <c r="Y614" i="4"/>
  <c r="X614" i="4"/>
  <c r="V614" i="4"/>
  <c r="T614" i="4"/>
  <c r="S614" i="4"/>
  <c r="O614" i="4"/>
  <c r="L614" i="4"/>
  <c r="Z613" i="4"/>
  <c r="Y613" i="4"/>
  <c r="X613" i="4"/>
  <c r="W613" i="4"/>
  <c r="V613" i="4"/>
  <c r="U613" i="4"/>
  <c r="T613" i="4"/>
  <c r="S613" i="4"/>
  <c r="R613" i="4"/>
  <c r="Q613" i="4"/>
  <c r="Z612" i="4"/>
  <c r="Y612" i="4"/>
  <c r="X612" i="4"/>
  <c r="W612" i="4"/>
  <c r="V612" i="4"/>
  <c r="U612" i="4"/>
  <c r="T612" i="4"/>
  <c r="S612" i="4"/>
  <c r="R612" i="4"/>
  <c r="Q612" i="4"/>
  <c r="Z611" i="4"/>
  <c r="Y611" i="4"/>
  <c r="X611" i="4"/>
  <c r="W611" i="4"/>
  <c r="V611" i="4"/>
  <c r="U611" i="4"/>
  <c r="T611" i="4"/>
  <c r="S611" i="4"/>
  <c r="R611" i="4"/>
  <c r="Q611" i="4"/>
  <c r="W607" i="4"/>
  <c r="U607" i="4" s="1"/>
  <c r="R607" i="4"/>
  <c r="W606" i="4"/>
  <c r="U606" i="4" s="1"/>
  <c r="R606" i="4"/>
  <c r="W605" i="4"/>
  <c r="U605" i="4" s="1"/>
  <c r="R605" i="4"/>
  <c r="W604" i="4"/>
  <c r="U604" i="4" s="1"/>
  <c r="R604" i="4"/>
  <c r="W603" i="4"/>
  <c r="U603" i="4" s="1"/>
  <c r="R603" i="4"/>
  <c r="W602" i="4"/>
  <c r="U602" i="4" s="1"/>
  <c r="R602" i="4"/>
  <c r="W601" i="4"/>
  <c r="U601" i="4" s="1"/>
  <c r="R601" i="4"/>
  <c r="W600" i="4"/>
  <c r="R600" i="4"/>
  <c r="Z599" i="4"/>
  <c r="Y599" i="4"/>
  <c r="X599" i="4"/>
  <c r="V599" i="4"/>
  <c r="T599" i="4"/>
  <c r="S599" i="4"/>
  <c r="O599" i="4"/>
  <c r="L599" i="4"/>
  <c r="W597" i="4"/>
  <c r="U597" i="4" s="1"/>
  <c r="R597" i="4"/>
  <c r="W596" i="4"/>
  <c r="U596" i="4" s="1"/>
  <c r="R596" i="4"/>
  <c r="W595" i="4"/>
  <c r="U595" i="4" s="1"/>
  <c r="R595" i="4"/>
  <c r="W594" i="4"/>
  <c r="U594" i="4" s="1"/>
  <c r="R594" i="4"/>
  <c r="W593" i="4"/>
  <c r="U593" i="4" s="1"/>
  <c r="R593" i="4"/>
  <c r="W592" i="4"/>
  <c r="U592" i="4" s="1"/>
  <c r="R592" i="4"/>
  <c r="W591" i="4"/>
  <c r="U591" i="4" s="1"/>
  <c r="R591" i="4"/>
  <c r="W590" i="4"/>
  <c r="R590" i="4"/>
  <c r="Z589" i="4"/>
  <c r="Y589" i="4"/>
  <c r="X589" i="4"/>
  <c r="V589" i="4"/>
  <c r="T589" i="4"/>
  <c r="S589" i="4"/>
  <c r="O589" i="4"/>
  <c r="L589" i="4"/>
  <c r="W587" i="4"/>
  <c r="U587" i="4" s="1"/>
  <c r="R587" i="4"/>
  <c r="W586" i="4"/>
  <c r="U586" i="4" s="1"/>
  <c r="R586" i="4"/>
  <c r="W585" i="4"/>
  <c r="U585" i="4" s="1"/>
  <c r="R585" i="4"/>
  <c r="W584" i="4"/>
  <c r="U584" i="4" s="1"/>
  <c r="R584" i="4"/>
  <c r="W583" i="4"/>
  <c r="U583" i="4" s="1"/>
  <c r="R583" i="4"/>
  <c r="W582" i="4"/>
  <c r="U582" i="4" s="1"/>
  <c r="R582" i="4"/>
  <c r="W581" i="4"/>
  <c r="U581" i="4" s="1"/>
  <c r="R581" i="4"/>
  <c r="W580" i="4"/>
  <c r="R580" i="4"/>
  <c r="Z579" i="4"/>
  <c r="Y579" i="4"/>
  <c r="X579" i="4"/>
  <c r="V579" i="4"/>
  <c r="T579" i="4"/>
  <c r="S579" i="4"/>
  <c r="O579" i="4"/>
  <c r="L579" i="4"/>
  <c r="W577" i="4"/>
  <c r="U577" i="4" s="1"/>
  <c r="R577" i="4"/>
  <c r="W576" i="4"/>
  <c r="U576" i="4" s="1"/>
  <c r="R576" i="4"/>
  <c r="W575" i="4"/>
  <c r="U575" i="4" s="1"/>
  <c r="R575" i="4"/>
  <c r="W574" i="4"/>
  <c r="U574" i="4" s="1"/>
  <c r="R574" i="4"/>
  <c r="W573" i="4"/>
  <c r="U573" i="4" s="1"/>
  <c r="R573" i="4"/>
  <c r="W572" i="4"/>
  <c r="U572" i="4" s="1"/>
  <c r="R572" i="4"/>
  <c r="W571" i="4"/>
  <c r="U571" i="4" s="1"/>
  <c r="R571" i="4"/>
  <c r="W570" i="4"/>
  <c r="R570" i="4"/>
  <c r="Z569" i="4"/>
  <c r="Y569" i="4"/>
  <c r="X569" i="4"/>
  <c r="V569" i="4"/>
  <c r="T569" i="4"/>
  <c r="S569" i="4"/>
  <c r="O569" i="4"/>
  <c r="L569" i="4"/>
  <c r="W567" i="4"/>
  <c r="U567" i="4" s="1"/>
  <c r="R567" i="4"/>
  <c r="W566" i="4"/>
  <c r="U566" i="4" s="1"/>
  <c r="R566" i="4"/>
  <c r="W565" i="4"/>
  <c r="U565" i="4" s="1"/>
  <c r="R565" i="4"/>
  <c r="W564" i="4"/>
  <c r="U564" i="4" s="1"/>
  <c r="R564" i="4"/>
  <c r="W563" i="4"/>
  <c r="U563" i="4" s="1"/>
  <c r="R563" i="4"/>
  <c r="W562" i="4"/>
  <c r="U562" i="4" s="1"/>
  <c r="R562" i="4"/>
  <c r="W561" i="4"/>
  <c r="U561" i="4" s="1"/>
  <c r="R561" i="4"/>
  <c r="W560" i="4"/>
  <c r="R560" i="4"/>
  <c r="Z559" i="4"/>
  <c r="Y559" i="4"/>
  <c r="X559" i="4"/>
  <c r="V559" i="4"/>
  <c r="T559" i="4"/>
  <c r="S559" i="4"/>
  <c r="O559" i="4"/>
  <c r="L559" i="4"/>
  <c r="W557" i="4"/>
  <c r="U557" i="4" s="1"/>
  <c r="R557" i="4"/>
  <c r="W556" i="4"/>
  <c r="U556" i="4" s="1"/>
  <c r="R556" i="4"/>
  <c r="W555" i="4"/>
  <c r="U555" i="4" s="1"/>
  <c r="R555" i="4"/>
  <c r="W554" i="4"/>
  <c r="U554" i="4" s="1"/>
  <c r="R554" i="4"/>
  <c r="W553" i="4"/>
  <c r="U553" i="4" s="1"/>
  <c r="R553" i="4"/>
  <c r="W552" i="4"/>
  <c r="U552" i="4" s="1"/>
  <c r="R552" i="4"/>
  <c r="W551" i="4"/>
  <c r="U551" i="4" s="1"/>
  <c r="R551" i="4"/>
  <c r="W550" i="4"/>
  <c r="U550" i="4" s="1"/>
  <c r="R550" i="4"/>
  <c r="Z549" i="4"/>
  <c r="Y549" i="4"/>
  <c r="X549" i="4"/>
  <c r="V549" i="4"/>
  <c r="T549" i="4"/>
  <c r="S549" i="4"/>
  <c r="O549" i="4"/>
  <c r="L549" i="4"/>
  <c r="W547" i="4"/>
  <c r="U547" i="4" s="1"/>
  <c r="R547" i="4"/>
  <c r="W546" i="4"/>
  <c r="U546" i="4" s="1"/>
  <c r="R546" i="4"/>
  <c r="W545" i="4"/>
  <c r="U545" i="4" s="1"/>
  <c r="R545" i="4"/>
  <c r="W544" i="4"/>
  <c r="U544" i="4" s="1"/>
  <c r="R544" i="4"/>
  <c r="W543" i="4"/>
  <c r="U543" i="4" s="1"/>
  <c r="R543" i="4"/>
  <c r="W542" i="4"/>
  <c r="U542" i="4" s="1"/>
  <c r="R542" i="4"/>
  <c r="W541" i="4"/>
  <c r="U541" i="4" s="1"/>
  <c r="R541" i="4"/>
  <c r="W540" i="4"/>
  <c r="U540" i="4" s="1"/>
  <c r="R540" i="4"/>
  <c r="Z539" i="4"/>
  <c r="Y539" i="4"/>
  <c r="X539" i="4"/>
  <c r="V539" i="4"/>
  <c r="T539" i="4"/>
  <c r="S539" i="4"/>
  <c r="O539" i="4"/>
  <c r="L539" i="4"/>
  <c r="W537" i="4"/>
  <c r="U537" i="4" s="1"/>
  <c r="R537" i="4"/>
  <c r="W536" i="4"/>
  <c r="U536" i="4" s="1"/>
  <c r="R536" i="4"/>
  <c r="W535" i="4"/>
  <c r="U535" i="4" s="1"/>
  <c r="R535" i="4"/>
  <c r="W534" i="4"/>
  <c r="U534" i="4" s="1"/>
  <c r="R534" i="4"/>
  <c r="W533" i="4"/>
  <c r="U533" i="4" s="1"/>
  <c r="R533" i="4"/>
  <c r="W532" i="4"/>
  <c r="U532" i="4" s="1"/>
  <c r="R532" i="4"/>
  <c r="W531" i="4"/>
  <c r="U531" i="4" s="1"/>
  <c r="R531" i="4"/>
  <c r="W530" i="4"/>
  <c r="U530" i="4" s="1"/>
  <c r="R530" i="4"/>
  <c r="Z529" i="4"/>
  <c r="Y529" i="4"/>
  <c r="X529" i="4"/>
  <c r="V529" i="4"/>
  <c r="T529" i="4"/>
  <c r="S529" i="4"/>
  <c r="O529" i="4"/>
  <c r="L529" i="4"/>
  <c r="W527" i="4"/>
  <c r="U527" i="4" s="1"/>
  <c r="R527" i="4"/>
  <c r="W526" i="4"/>
  <c r="U526" i="4" s="1"/>
  <c r="R526" i="4"/>
  <c r="W525" i="4"/>
  <c r="U525" i="4" s="1"/>
  <c r="R525" i="4"/>
  <c r="W524" i="4"/>
  <c r="U524" i="4" s="1"/>
  <c r="R524" i="4"/>
  <c r="W523" i="4"/>
  <c r="U523" i="4" s="1"/>
  <c r="R523" i="4"/>
  <c r="W522" i="4"/>
  <c r="U522" i="4" s="1"/>
  <c r="R522" i="4"/>
  <c r="W521" i="4"/>
  <c r="U521" i="4" s="1"/>
  <c r="R521" i="4"/>
  <c r="W520" i="4"/>
  <c r="U520" i="4" s="1"/>
  <c r="R520" i="4"/>
  <c r="Z519" i="4"/>
  <c r="Y519" i="4"/>
  <c r="X519" i="4"/>
  <c r="V519" i="4"/>
  <c r="T519" i="4"/>
  <c r="S519" i="4"/>
  <c r="O519" i="4"/>
  <c r="L519" i="4"/>
  <c r="W515" i="4"/>
  <c r="U515" i="4" s="1"/>
  <c r="R515" i="4"/>
  <c r="W514" i="4"/>
  <c r="U514" i="4" s="1"/>
  <c r="R514" i="4"/>
  <c r="W513" i="4"/>
  <c r="U513" i="4" s="1"/>
  <c r="R513" i="4"/>
  <c r="W512" i="4"/>
  <c r="U512" i="4" s="1"/>
  <c r="R512" i="4"/>
  <c r="W511" i="4"/>
  <c r="U511" i="4" s="1"/>
  <c r="R511" i="4"/>
  <c r="W510" i="4"/>
  <c r="U510" i="4" s="1"/>
  <c r="R510" i="4"/>
  <c r="W509" i="4"/>
  <c r="U509" i="4" s="1"/>
  <c r="R509" i="4"/>
  <c r="W508" i="4"/>
  <c r="U508" i="4" s="1"/>
  <c r="R508" i="4"/>
  <c r="Z507" i="4"/>
  <c r="Y507" i="4"/>
  <c r="X507" i="4"/>
  <c r="V507" i="4"/>
  <c r="T507" i="4"/>
  <c r="S507" i="4"/>
  <c r="O507" i="4"/>
  <c r="L507" i="4"/>
  <c r="W505" i="4"/>
  <c r="U505" i="4" s="1"/>
  <c r="R505" i="4"/>
  <c r="W504" i="4"/>
  <c r="U504" i="4" s="1"/>
  <c r="R504" i="4"/>
  <c r="W503" i="4"/>
  <c r="U503" i="4" s="1"/>
  <c r="R503" i="4"/>
  <c r="W502" i="4"/>
  <c r="U502" i="4" s="1"/>
  <c r="R502" i="4"/>
  <c r="W501" i="4"/>
  <c r="U501" i="4" s="1"/>
  <c r="R501" i="4"/>
  <c r="W500" i="4"/>
  <c r="U500" i="4" s="1"/>
  <c r="R500" i="4"/>
  <c r="W499" i="4"/>
  <c r="U499" i="4" s="1"/>
  <c r="R499" i="4"/>
  <c r="W498" i="4"/>
  <c r="R498" i="4"/>
  <c r="Z497" i="4"/>
  <c r="Y497" i="4"/>
  <c r="X497" i="4"/>
  <c r="V497" i="4"/>
  <c r="T497" i="4"/>
  <c r="S497" i="4"/>
  <c r="O497" i="4"/>
  <c r="L497" i="4"/>
  <c r="W495" i="4"/>
  <c r="U495" i="4" s="1"/>
  <c r="R495" i="4"/>
  <c r="W494" i="4"/>
  <c r="U494" i="4" s="1"/>
  <c r="R494" i="4"/>
  <c r="W493" i="4"/>
  <c r="U493" i="4" s="1"/>
  <c r="R493" i="4"/>
  <c r="W492" i="4"/>
  <c r="U492" i="4" s="1"/>
  <c r="R492" i="4"/>
  <c r="W491" i="4"/>
  <c r="U491" i="4" s="1"/>
  <c r="R491" i="4"/>
  <c r="W490" i="4"/>
  <c r="U490" i="4" s="1"/>
  <c r="R490" i="4"/>
  <c r="W489" i="4"/>
  <c r="U489" i="4" s="1"/>
  <c r="R489" i="4"/>
  <c r="W488" i="4"/>
  <c r="U488" i="4" s="1"/>
  <c r="R488" i="4"/>
  <c r="Z487" i="4"/>
  <c r="Y487" i="4"/>
  <c r="X487" i="4"/>
  <c r="V487" i="4"/>
  <c r="T487" i="4"/>
  <c r="S487" i="4"/>
  <c r="O487" i="4"/>
  <c r="L487" i="4"/>
  <c r="W485" i="4"/>
  <c r="U485" i="4" s="1"/>
  <c r="R485" i="4"/>
  <c r="W484" i="4"/>
  <c r="U484" i="4" s="1"/>
  <c r="R484" i="4"/>
  <c r="W483" i="4"/>
  <c r="U483" i="4" s="1"/>
  <c r="R483" i="4"/>
  <c r="W482" i="4"/>
  <c r="U482" i="4" s="1"/>
  <c r="R482" i="4"/>
  <c r="W481" i="4"/>
  <c r="U481" i="4" s="1"/>
  <c r="R481" i="4"/>
  <c r="W480" i="4"/>
  <c r="U480" i="4" s="1"/>
  <c r="R480" i="4"/>
  <c r="W479" i="4"/>
  <c r="U479" i="4" s="1"/>
  <c r="R479" i="4"/>
  <c r="W478" i="4"/>
  <c r="U478" i="4" s="1"/>
  <c r="R478" i="4"/>
  <c r="Z477" i="4"/>
  <c r="Y477" i="4"/>
  <c r="X477" i="4"/>
  <c r="V477" i="4"/>
  <c r="T477" i="4"/>
  <c r="S477" i="4"/>
  <c r="O477" i="4"/>
  <c r="L477" i="4"/>
  <c r="W475" i="4"/>
  <c r="U475" i="4" s="1"/>
  <c r="R475" i="4"/>
  <c r="W474" i="4"/>
  <c r="U474" i="4" s="1"/>
  <c r="R474" i="4"/>
  <c r="W473" i="4"/>
  <c r="U473" i="4" s="1"/>
  <c r="R473" i="4"/>
  <c r="W472" i="4"/>
  <c r="U472" i="4" s="1"/>
  <c r="R472" i="4"/>
  <c r="W471" i="4"/>
  <c r="U471" i="4" s="1"/>
  <c r="R471" i="4"/>
  <c r="W470" i="4"/>
  <c r="U470" i="4" s="1"/>
  <c r="R470" i="4"/>
  <c r="W469" i="4"/>
  <c r="U469" i="4" s="1"/>
  <c r="R469" i="4"/>
  <c r="W468" i="4"/>
  <c r="R468" i="4"/>
  <c r="Z467" i="4"/>
  <c r="Y467" i="4"/>
  <c r="X467" i="4"/>
  <c r="V467" i="4"/>
  <c r="T467" i="4"/>
  <c r="S467" i="4"/>
  <c r="O467" i="4"/>
  <c r="L467" i="4"/>
  <c r="W465" i="4"/>
  <c r="U465" i="4" s="1"/>
  <c r="R465" i="4"/>
  <c r="W464" i="4"/>
  <c r="U464" i="4" s="1"/>
  <c r="R464" i="4"/>
  <c r="W463" i="4"/>
  <c r="U463" i="4" s="1"/>
  <c r="R463" i="4"/>
  <c r="W462" i="4"/>
  <c r="U462" i="4" s="1"/>
  <c r="R462" i="4"/>
  <c r="W461" i="4"/>
  <c r="U461" i="4" s="1"/>
  <c r="R461" i="4"/>
  <c r="W460" i="4"/>
  <c r="U460" i="4" s="1"/>
  <c r="R460" i="4"/>
  <c r="W459" i="4"/>
  <c r="U459" i="4" s="1"/>
  <c r="R459" i="4"/>
  <c r="W458" i="4"/>
  <c r="U458" i="4" s="1"/>
  <c r="R458" i="4"/>
  <c r="Z457" i="4"/>
  <c r="Y457" i="4"/>
  <c r="X457" i="4"/>
  <c r="V457" i="4"/>
  <c r="T457" i="4"/>
  <c r="S457" i="4"/>
  <c r="O457" i="4"/>
  <c r="L457" i="4"/>
  <c r="W455" i="4"/>
  <c r="U455" i="4" s="1"/>
  <c r="R455" i="4"/>
  <c r="W454" i="4"/>
  <c r="U454" i="4" s="1"/>
  <c r="R454" i="4"/>
  <c r="W453" i="4"/>
  <c r="U453" i="4" s="1"/>
  <c r="R453" i="4"/>
  <c r="W452" i="4"/>
  <c r="U452" i="4" s="1"/>
  <c r="R452" i="4"/>
  <c r="W451" i="4"/>
  <c r="U451" i="4" s="1"/>
  <c r="R451" i="4"/>
  <c r="W450" i="4"/>
  <c r="U450" i="4" s="1"/>
  <c r="R450" i="4"/>
  <c r="W449" i="4"/>
  <c r="U449" i="4" s="1"/>
  <c r="R449" i="4"/>
  <c r="W448" i="4"/>
  <c r="R448" i="4"/>
  <c r="Z447" i="4"/>
  <c r="Y447" i="4"/>
  <c r="X447" i="4"/>
  <c r="V447" i="4"/>
  <c r="T447" i="4"/>
  <c r="S447" i="4"/>
  <c r="O447" i="4"/>
  <c r="L447" i="4"/>
  <c r="W445" i="4"/>
  <c r="U445" i="4" s="1"/>
  <c r="R445" i="4"/>
  <c r="W444" i="4"/>
  <c r="U444" i="4" s="1"/>
  <c r="R444" i="4"/>
  <c r="W443" i="4"/>
  <c r="U443" i="4" s="1"/>
  <c r="R443" i="4"/>
  <c r="W442" i="4"/>
  <c r="U442" i="4" s="1"/>
  <c r="R442" i="4"/>
  <c r="W441" i="4"/>
  <c r="U441" i="4" s="1"/>
  <c r="R441" i="4"/>
  <c r="W440" i="4"/>
  <c r="U440" i="4" s="1"/>
  <c r="R440" i="4"/>
  <c r="W439" i="4"/>
  <c r="U439" i="4" s="1"/>
  <c r="R439" i="4"/>
  <c r="W438" i="4"/>
  <c r="U438" i="4" s="1"/>
  <c r="R438" i="4"/>
  <c r="Z437" i="4"/>
  <c r="Y437" i="4"/>
  <c r="X437" i="4"/>
  <c r="V437" i="4"/>
  <c r="T437" i="4"/>
  <c r="S437" i="4"/>
  <c r="O437" i="4"/>
  <c r="L437" i="4"/>
  <c r="W435" i="4"/>
  <c r="U435" i="4" s="1"/>
  <c r="R435" i="4"/>
  <c r="W434" i="4"/>
  <c r="U434" i="4" s="1"/>
  <c r="R434" i="4"/>
  <c r="W433" i="4"/>
  <c r="U433" i="4" s="1"/>
  <c r="R433" i="4"/>
  <c r="W432" i="4"/>
  <c r="U432" i="4" s="1"/>
  <c r="R432" i="4"/>
  <c r="W431" i="4"/>
  <c r="U431" i="4" s="1"/>
  <c r="R431" i="4"/>
  <c r="W430" i="4"/>
  <c r="U430" i="4" s="1"/>
  <c r="R430" i="4"/>
  <c r="W429" i="4"/>
  <c r="U429" i="4" s="1"/>
  <c r="R429" i="4"/>
  <c r="W428" i="4"/>
  <c r="R428" i="4"/>
  <c r="Z427" i="4"/>
  <c r="Y427" i="4"/>
  <c r="X427" i="4"/>
  <c r="V427" i="4"/>
  <c r="T427" i="4"/>
  <c r="S427" i="4"/>
  <c r="O427" i="4"/>
  <c r="L427" i="4"/>
  <c r="W425" i="4"/>
  <c r="U425" i="4" s="1"/>
  <c r="R425" i="4"/>
  <c r="W424" i="4"/>
  <c r="U424" i="4" s="1"/>
  <c r="R424" i="4"/>
  <c r="W423" i="4"/>
  <c r="U423" i="4" s="1"/>
  <c r="R423" i="4"/>
  <c r="W422" i="4"/>
  <c r="U422" i="4" s="1"/>
  <c r="R422" i="4"/>
  <c r="W421" i="4"/>
  <c r="U421" i="4" s="1"/>
  <c r="R421" i="4"/>
  <c r="W420" i="4"/>
  <c r="U420" i="4" s="1"/>
  <c r="R420" i="4"/>
  <c r="W419" i="4"/>
  <c r="U419" i="4" s="1"/>
  <c r="R419" i="4"/>
  <c r="W418" i="4"/>
  <c r="U418" i="4" s="1"/>
  <c r="R418" i="4"/>
  <c r="Z417" i="4"/>
  <c r="Y417" i="4"/>
  <c r="X417" i="4"/>
  <c r="V417" i="4"/>
  <c r="T417" i="4"/>
  <c r="S417" i="4"/>
  <c r="O417" i="4"/>
  <c r="L417" i="4"/>
  <c r="W415" i="4"/>
  <c r="U415" i="4" s="1"/>
  <c r="R415" i="4"/>
  <c r="W414" i="4"/>
  <c r="U414" i="4" s="1"/>
  <c r="R414" i="4"/>
  <c r="W413" i="4"/>
  <c r="U413" i="4" s="1"/>
  <c r="R413" i="4"/>
  <c r="W412" i="4"/>
  <c r="U412" i="4" s="1"/>
  <c r="R412" i="4"/>
  <c r="W411" i="4"/>
  <c r="U411" i="4" s="1"/>
  <c r="R411" i="4"/>
  <c r="W410" i="4"/>
  <c r="U410" i="4" s="1"/>
  <c r="R410" i="4"/>
  <c r="W409" i="4"/>
  <c r="U409" i="4" s="1"/>
  <c r="R409" i="4"/>
  <c r="W408" i="4"/>
  <c r="U408" i="4" s="1"/>
  <c r="R408" i="4"/>
  <c r="Z407" i="4"/>
  <c r="Y407" i="4"/>
  <c r="X407" i="4"/>
  <c r="V407" i="4"/>
  <c r="T407" i="4"/>
  <c r="S407" i="4"/>
  <c r="O407" i="4"/>
  <c r="L407" i="4"/>
  <c r="W403" i="4"/>
  <c r="U403" i="4" s="1"/>
  <c r="R403" i="4"/>
  <c r="W402" i="4"/>
  <c r="U402" i="4" s="1"/>
  <c r="R402" i="4"/>
  <c r="W401" i="4"/>
  <c r="U401" i="4" s="1"/>
  <c r="R401" i="4"/>
  <c r="W400" i="4"/>
  <c r="U400" i="4" s="1"/>
  <c r="R400" i="4"/>
  <c r="W399" i="4"/>
  <c r="U399" i="4" s="1"/>
  <c r="R399" i="4"/>
  <c r="W398" i="4"/>
  <c r="U398" i="4" s="1"/>
  <c r="R398" i="4"/>
  <c r="W397" i="4"/>
  <c r="U397" i="4" s="1"/>
  <c r="R397" i="4"/>
  <c r="W396" i="4"/>
  <c r="R396" i="4"/>
  <c r="Z395" i="4"/>
  <c r="Y395" i="4"/>
  <c r="X395" i="4"/>
  <c r="V395" i="4"/>
  <c r="T395" i="4"/>
  <c r="S395" i="4"/>
  <c r="O395" i="4"/>
  <c r="L395" i="4"/>
  <c r="W393" i="4"/>
  <c r="U393" i="4" s="1"/>
  <c r="R393" i="4"/>
  <c r="W392" i="4"/>
  <c r="U392" i="4" s="1"/>
  <c r="R392" i="4"/>
  <c r="W391" i="4"/>
  <c r="U391" i="4" s="1"/>
  <c r="R391" i="4"/>
  <c r="W390" i="4"/>
  <c r="U390" i="4" s="1"/>
  <c r="R390" i="4"/>
  <c r="W389" i="4"/>
  <c r="U389" i="4" s="1"/>
  <c r="R389" i="4"/>
  <c r="W388" i="4"/>
  <c r="U388" i="4" s="1"/>
  <c r="R388" i="4"/>
  <c r="W387" i="4"/>
  <c r="U387" i="4" s="1"/>
  <c r="R387" i="4"/>
  <c r="W386" i="4"/>
  <c r="U386" i="4" s="1"/>
  <c r="R386" i="4"/>
  <c r="Z385" i="4"/>
  <c r="Y385" i="4"/>
  <c r="X385" i="4"/>
  <c r="V385" i="4"/>
  <c r="T385" i="4"/>
  <c r="S385" i="4"/>
  <c r="O385" i="4"/>
  <c r="L385" i="4"/>
  <c r="W383" i="4"/>
  <c r="U383" i="4" s="1"/>
  <c r="R383" i="4"/>
  <c r="W382" i="4"/>
  <c r="U382" i="4" s="1"/>
  <c r="R382" i="4"/>
  <c r="W381" i="4"/>
  <c r="U381" i="4" s="1"/>
  <c r="R381" i="4"/>
  <c r="W380" i="4"/>
  <c r="U380" i="4" s="1"/>
  <c r="R380" i="4"/>
  <c r="W379" i="4"/>
  <c r="U379" i="4" s="1"/>
  <c r="R379" i="4"/>
  <c r="W378" i="4"/>
  <c r="U378" i="4" s="1"/>
  <c r="R378" i="4"/>
  <c r="W377" i="4"/>
  <c r="U377" i="4" s="1"/>
  <c r="R377" i="4"/>
  <c r="W376" i="4"/>
  <c r="R376" i="4"/>
  <c r="Z375" i="4"/>
  <c r="Y375" i="4"/>
  <c r="X375" i="4"/>
  <c r="V375" i="4"/>
  <c r="T375" i="4"/>
  <c r="S375" i="4"/>
  <c r="O375" i="4"/>
  <c r="L375" i="4"/>
  <c r="W373" i="4"/>
  <c r="U373" i="4" s="1"/>
  <c r="R373" i="4"/>
  <c r="W372" i="4"/>
  <c r="U372" i="4" s="1"/>
  <c r="R372" i="4"/>
  <c r="W371" i="4"/>
  <c r="U371" i="4" s="1"/>
  <c r="R371" i="4"/>
  <c r="W370" i="4"/>
  <c r="U370" i="4" s="1"/>
  <c r="R370" i="4"/>
  <c r="W369" i="4"/>
  <c r="U369" i="4" s="1"/>
  <c r="R369" i="4"/>
  <c r="W368" i="4"/>
  <c r="U368" i="4" s="1"/>
  <c r="R368" i="4"/>
  <c r="W367" i="4"/>
  <c r="U367" i="4" s="1"/>
  <c r="R367" i="4"/>
  <c r="W366" i="4"/>
  <c r="U366" i="4" s="1"/>
  <c r="R366" i="4"/>
  <c r="Z365" i="4"/>
  <c r="Y365" i="4"/>
  <c r="X365" i="4"/>
  <c r="V365" i="4"/>
  <c r="T365" i="4"/>
  <c r="S365" i="4"/>
  <c r="O365" i="4"/>
  <c r="L365" i="4"/>
  <c r="W363" i="4"/>
  <c r="U363" i="4" s="1"/>
  <c r="R363" i="4"/>
  <c r="W362" i="4"/>
  <c r="U362" i="4" s="1"/>
  <c r="R362" i="4"/>
  <c r="W361" i="4"/>
  <c r="U361" i="4" s="1"/>
  <c r="R361" i="4"/>
  <c r="W360" i="4"/>
  <c r="U360" i="4" s="1"/>
  <c r="R360" i="4"/>
  <c r="W359" i="4"/>
  <c r="U359" i="4" s="1"/>
  <c r="R359" i="4"/>
  <c r="W358" i="4"/>
  <c r="U358" i="4" s="1"/>
  <c r="R358" i="4"/>
  <c r="W357" i="4"/>
  <c r="U357" i="4" s="1"/>
  <c r="R357" i="4"/>
  <c r="W356" i="4"/>
  <c r="U356" i="4" s="1"/>
  <c r="R356" i="4"/>
  <c r="Z355" i="4"/>
  <c r="Y355" i="4"/>
  <c r="X355" i="4"/>
  <c r="V355" i="4"/>
  <c r="T355" i="4"/>
  <c r="S355" i="4"/>
  <c r="O355" i="4"/>
  <c r="L355" i="4"/>
  <c r="W353" i="4"/>
  <c r="U353" i="4" s="1"/>
  <c r="R353" i="4"/>
  <c r="W352" i="4"/>
  <c r="U352" i="4" s="1"/>
  <c r="R352" i="4"/>
  <c r="W351" i="4"/>
  <c r="U351" i="4" s="1"/>
  <c r="R351" i="4"/>
  <c r="W350" i="4"/>
  <c r="U350" i="4" s="1"/>
  <c r="R350" i="4"/>
  <c r="W349" i="4"/>
  <c r="U349" i="4" s="1"/>
  <c r="R349" i="4"/>
  <c r="W348" i="4"/>
  <c r="U348" i="4" s="1"/>
  <c r="R348" i="4"/>
  <c r="W347" i="4"/>
  <c r="U347" i="4" s="1"/>
  <c r="R347" i="4"/>
  <c r="W346" i="4"/>
  <c r="U346" i="4" s="1"/>
  <c r="R346" i="4"/>
  <c r="Z345" i="4"/>
  <c r="Y345" i="4"/>
  <c r="X345" i="4"/>
  <c r="V345" i="4"/>
  <c r="T345" i="4"/>
  <c r="S345" i="4"/>
  <c r="O345" i="4"/>
  <c r="L345" i="4"/>
  <c r="W343" i="4"/>
  <c r="U343" i="4" s="1"/>
  <c r="R343" i="4"/>
  <c r="W342" i="4"/>
  <c r="U342" i="4" s="1"/>
  <c r="R342" i="4"/>
  <c r="W341" i="4"/>
  <c r="U341" i="4" s="1"/>
  <c r="R341" i="4"/>
  <c r="W340" i="4"/>
  <c r="U340" i="4" s="1"/>
  <c r="R340" i="4"/>
  <c r="W339" i="4"/>
  <c r="U339" i="4" s="1"/>
  <c r="R339" i="4"/>
  <c r="W338" i="4"/>
  <c r="U338" i="4" s="1"/>
  <c r="R338" i="4"/>
  <c r="W337" i="4"/>
  <c r="U337" i="4" s="1"/>
  <c r="R337" i="4"/>
  <c r="W336" i="4"/>
  <c r="R336" i="4"/>
  <c r="Z335" i="4"/>
  <c r="Y335" i="4"/>
  <c r="X335" i="4"/>
  <c r="V335" i="4"/>
  <c r="T335" i="4"/>
  <c r="S335" i="4"/>
  <c r="O335" i="4"/>
  <c r="L335" i="4"/>
  <c r="W333" i="4"/>
  <c r="U333" i="4" s="1"/>
  <c r="R333" i="4"/>
  <c r="W332" i="4"/>
  <c r="U332" i="4" s="1"/>
  <c r="R332" i="4"/>
  <c r="W331" i="4"/>
  <c r="U331" i="4" s="1"/>
  <c r="R331" i="4"/>
  <c r="W330" i="4"/>
  <c r="U330" i="4" s="1"/>
  <c r="R330" i="4"/>
  <c r="W329" i="4"/>
  <c r="U329" i="4" s="1"/>
  <c r="R329" i="4"/>
  <c r="W328" i="4"/>
  <c r="U328" i="4" s="1"/>
  <c r="R328" i="4"/>
  <c r="W327" i="4"/>
  <c r="U327" i="4" s="1"/>
  <c r="R327" i="4"/>
  <c r="W326" i="4"/>
  <c r="U326" i="4" s="1"/>
  <c r="R326" i="4"/>
  <c r="Z325" i="4"/>
  <c r="Y325" i="4"/>
  <c r="X325" i="4"/>
  <c r="V325" i="4"/>
  <c r="T325" i="4"/>
  <c r="S325" i="4"/>
  <c r="O325" i="4"/>
  <c r="L325" i="4"/>
  <c r="W323" i="4"/>
  <c r="U323" i="4" s="1"/>
  <c r="R323" i="4"/>
  <c r="W322" i="4"/>
  <c r="U322" i="4" s="1"/>
  <c r="R322" i="4"/>
  <c r="W321" i="4"/>
  <c r="U321" i="4" s="1"/>
  <c r="R321" i="4"/>
  <c r="W320" i="4"/>
  <c r="U320" i="4" s="1"/>
  <c r="R320" i="4"/>
  <c r="W319" i="4"/>
  <c r="U319" i="4" s="1"/>
  <c r="R319" i="4"/>
  <c r="W318" i="4"/>
  <c r="U318" i="4" s="1"/>
  <c r="R318" i="4"/>
  <c r="W317" i="4"/>
  <c r="U317" i="4" s="1"/>
  <c r="R317" i="4"/>
  <c r="W316" i="4"/>
  <c r="U316" i="4" s="1"/>
  <c r="R316" i="4"/>
  <c r="Z315" i="4"/>
  <c r="Y315" i="4"/>
  <c r="X315" i="4"/>
  <c r="V315" i="4"/>
  <c r="T315" i="4"/>
  <c r="S315" i="4"/>
  <c r="O315" i="4"/>
  <c r="L315" i="4"/>
  <c r="W313" i="4"/>
  <c r="U313" i="4" s="1"/>
  <c r="R313" i="4"/>
  <c r="W312" i="4"/>
  <c r="U312" i="4" s="1"/>
  <c r="R312" i="4"/>
  <c r="W311" i="4"/>
  <c r="U311" i="4" s="1"/>
  <c r="R311" i="4"/>
  <c r="W310" i="4"/>
  <c r="U310" i="4" s="1"/>
  <c r="R310" i="4"/>
  <c r="W309" i="4"/>
  <c r="U309" i="4" s="1"/>
  <c r="R309" i="4"/>
  <c r="W308" i="4"/>
  <c r="U308" i="4" s="1"/>
  <c r="R308" i="4"/>
  <c r="W307" i="4"/>
  <c r="U307" i="4" s="1"/>
  <c r="R307" i="4"/>
  <c r="W306" i="4"/>
  <c r="U306" i="4" s="1"/>
  <c r="R306" i="4"/>
  <c r="Z305" i="4"/>
  <c r="Y305" i="4"/>
  <c r="X305" i="4"/>
  <c r="V305" i="4"/>
  <c r="T305" i="4"/>
  <c r="S305" i="4"/>
  <c r="O305" i="4"/>
  <c r="L305" i="4"/>
  <c r="W303" i="4"/>
  <c r="U303" i="4" s="1"/>
  <c r="R303" i="4"/>
  <c r="W302" i="4"/>
  <c r="U302" i="4" s="1"/>
  <c r="R302" i="4"/>
  <c r="W301" i="4"/>
  <c r="U301" i="4" s="1"/>
  <c r="R301" i="4"/>
  <c r="W300" i="4"/>
  <c r="U300" i="4" s="1"/>
  <c r="R300" i="4"/>
  <c r="W299" i="4"/>
  <c r="U299" i="4" s="1"/>
  <c r="R299" i="4"/>
  <c r="W298" i="4"/>
  <c r="U298" i="4" s="1"/>
  <c r="R298" i="4"/>
  <c r="W297" i="4"/>
  <c r="U297" i="4" s="1"/>
  <c r="R297" i="4"/>
  <c r="W296" i="4"/>
  <c r="R296" i="4"/>
  <c r="Z295" i="4"/>
  <c r="Y295" i="4"/>
  <c r="X295" i="4"/>
  <c r="V295" i="4"/>
  <c r="T295" i="4"/>
  <c r="S295" i="4"/>
  <c r="O295" i="4"/>
  <c r="L295" i="4"/>
  <c r="W293" i="4"/>
  <c r="U293" i="4" s="1"/>
  <c r="R293" i="4"/>
  <c r="W292" i="4"/>
  <c r="U292" i="4" s="1"/>
  <c r="R292" i="4"/>
  <c r="W291" i="4"/>
  <c r="R291" i="4"/>
  <c r="W290" i="4"/>
  <c r="U290" i="4" s="1"/>
  <c r="R290" i="4"/>
  <c r="O290" i="4"/>
  <c r="O289" i="4" s="1"/>
  <c r="Z289" i="4"/>
  <c r="Y289" i="4"/>
  <c r="X289" i="4"/>
  <c r="V289" i="4"/>
  <c r="T289" i="4"/>
  <c r="S289" i="4"/>
  <c r="L289" i="4"/>
  <c r="W287" i="4"/>
  <c r="U287" i="4" s="1"/>
  <c r="R287" i="4"/>
  <c r="W286" i="4"/>
  <c r="U286" i="4" s="1"/>
  <c r="R286" i="4"/>
  <c r="W285" i="4"/>
  <c r="U285" i="4" s="1"/>
  <c r="R285" i="4"/>
  <c r="W284" i="4"/>
  <c r="U284" i="4" s="1"/>
  <c r="R284" i="4"/>
  <c r="W283" i="4"/>
  <c r="U283" i="4" s="1"/>
  <c r="R283" i="4"/>
  <c r="W282" i="4"/>
  <c r="U282" i="4" s="1"/>
  <c r="R282" i="4"/>
  <c r="W281" i="4"/>
  <c r="U281" i="4" s="1"/>
  <c r="R281" i="4"/>
  <c r="W280" i="4"/>
  <c r="U280" i="4" s="1"/>
  <c r="R280" i="4"/>
  <c r="Z279" i="4"/>
  <c r="Y279" i="4"/>
  <c r="X279" i="4"/>
  <c r="V279" i="4"/>
  <c r="T279" i="4"/>
  <c r="S279" i="4"/>
  <c r="O279" i="4"/>
  <c r="L279" i="4"/>
  <c r="W275" i="4"/>
  <c r="U275" i="4" s="1"/>
  <c r="R275" i="4"/>
  <c r="W274" i="4"/>
  <c r="U274" i="4" s="1"/>
  <c r="R274" i="4"/>
  <c r="W273" i="4"/>
  <c r="U273" i="4" s="1"/>
  <c r="R273" i="4"/>
  <c r="W272" i="4"/>
  <c r="U272" i="4" s="1"/>
  <c r="R272" i="4"/>
  <c r="W271" i="4"/>
  <c r="U271" i="4" s="1"/>
  <c r="R271" i="4"/>
  <c r="W270" i="4"/>
  <c r="U270" i="4" s="1"/>
  <c r="R270" i="4"/>
  <c r="W269" i="4"/>
  <c r="U269" i="4" s="1"/>
  <c r="R269" i="4"/>
  <c r="W268" i="4"/>
  <c r="U268" i="4" s="1"/>
  <c r="R268" i="4"/>
  <c r="Z267" i="4"/>
  <c r="Y267" i="4"/>
  <c r="X267" i="4"/>
  <c r="V267" i="4"/>
  <c r="T267" i="4"/>
  <c r="S267" i="4"/>
  <c r="O267" i="4"/>
  <c r="L267" i="4"/>
  <c r="W265" i="4"/>
  <c r="U265" i="4" s="1"/>
  <c r="R265" i="4"/>
  <c r="W264" i="4"/>
  <c r="U264" i="4" s="1"/>
  <c r="R264" i="4"/>
  <c r="W263" i="4"/>
  <c r="U263" i="4" s="1"/>
  <c r="R263" i="4"/>
  <c r="W262" i="4"/>
  <c r="U262" i="4" s="1"/>
  <c r="R262" i="4"/>
  <c r="W261" i="4"/>
  <c r="U261" i="4" s="1"/>
  <c r="R261" i="4"/>
  <c r="W260" i="4"/>
  <c r="U260" i="4" s="1"/>
  <c r="R260" i="4"/>
  <c r="W259" i="4"/>
  <c r="U259" i="4" s="1"/>
  <c r="R259" i="4"/>
  <c r="W258" i="4"/>
  <c r="U258" i="4" s="1"/>
  <c r="R258" i="4"/>
  <c r="Z257" i="4"/>
  <c r="Y257" i="4"/>
  <c r="X257" i="4"/>
  <c r="V257" i="4"/>
  <c r="T257" i="4"/>
  <c r="S257" i="4"/>
  <c r="O257" i="4"/>
  <c r="L257" i="4"/>
  <c r="W255" i="4"/>
  <c r="U255" i="4" s="1"/>
  <c r="R255" i="4"/>
  <c r="W254" i="4"/>
  <c r="U254" i="4" s="1"/>
  <c r="R254" i="4"/>
  <c r="W253" i="4"/>
  <c r="U253" i="4" s="1"/>
  <c r="R253" i="4"/>
  <c r="W252" i="4"/>
  <c r="U252" i="4" s="1"/>
  <c r="R252" i="4"/>
  <c r="W251" i="4"/>
  <c r="U251" i="4" s="1"/>
  <c r="R251" i="4"/>
  <c r="W250" i="4"/>
  <c r="U250" i="4" s="1"/>
  <c r="R250" i="4"/>
  <c r="W249" i="4"/>
  <c r="U249" i="4" s="1"/>
  <c r="R249" i="4"/>
  <c r="W248" i="4"/>
  <c r="U248" i="4" s="1"/>
  <c r="R248" i="4"/>
  <c r="Z247" i="4"/>
  <c r="Y247" i="4"/>
  <c r="X247" i="4"/>
  <c r="V247" i="4"/>
  <c r="T247" i="4"/>
  <c r="S247" i="4"/>
  <c r="O247" i="4"/>
  <c r="L247" i="4"/>
  <c r="W245" i="4"/>
  <c r="U245" i="4" s="1"/>
  <c r="R245" i="4"/>
  <c r="W244" i="4"/>
  <c r="U244" i="4" s="1"/>
  <c r="R244" i="4"/>
  <c r="W243" i="4"/>
  <c r="U243" i="4" s="1"/>
  <c r="R243" i="4"/>
  <c r="W242" i="4"/>
  <c r="U242" i="4" s="1"/>
  <c r="R242" i="4"/>
  <c r="W241" i="4"/>
  <c r="U241" i="4" s="1"/>
  <c r="R241" i="4"/>
  <c r="W240" i="4"/>
  <c r="U240" i="4" s="1"/>
  <c r="R240" i="4"/>
  <c r="W239" i="4"/>
  <c r="U239" i="4" s="1"/>
  <c r="R239" i="4"/>
  <c r="W238" i="4"/>
  <c r="U238" i="4" s="1"/>
  <c r="R238" i="4"/>
  <c r="Z237" i="4"/>
  <c r="Y237" i="4"/>
  <c r="X237" i="4"/>
  <c r="V237" i="4"/>
  <c r="T237" i="4"/>
  <c r="S237" i="4"/>
  <c r="O237" i="4"/>
  <c r="L237" i="4"/>
  <c r="W235" i="4"/>
  <c r="U235" i="4" s="1"/>
  <c r="R235" i="4"/>
  <c r="W234" i="4"/>
  <c r="U234" i="4" s="1"/>
  <c r="R234" i="4"/>
  <c r="W233" i="4"/>
  <c r="U233" i="4" s="1"/>
  <c r="R233" i="4"/>
  <c r="W232" i="4"/>
  <c r="U232" i="4" s="1"/>
  <c r="R232" i="4"/>
  <c r="W231" i="4"/>
  <c r="U231" i="4" s="1"/>
  <c r="R231" i="4"/>
  <c r="W230" i="4"/>
  <c r="U230" i="4" s="1"/>
  <c r="R230" i="4"/>
  <c r="W229" i="4"/>
  <c r="U229" i="4" s="1"/>
  <c r="R229" i="4"/>
  <c r="W228" i="4"/>
  <c r="U228" i="4" s="1"/>
  <c r="R228" i="4"/>
  <c r="Z227" i="4"/>
  <c r="Y227" i="4"/>
  <c r="X227" i="4"/>
  <c r="V227" i="4"/>
  <c r="T227" i="4"/>
  <c r="S227" i="4"/>
  <c r="O227" i="4"/>
  <c r="L227" i="4"/>
  <c r="W225" i="4"/>
  <c r="U225" i="4" s="1"/>
  <c r="R225" i="4"/>
  <c r="W224" i="4"/>
  <c r="U224" i="4" s="1"/>
  <c r="R224" i="4"/>
  <c r="W223" i="4"/>
  <c r="U223" i="4" s="1"/>
  <c r="R223" i="4"/>
  <c r="W222" i="4"/>
  <c r="U222" i="4" s="1"/>
  <c r="R222" i="4"/>
  <c r="W221" i="4"/>
  <c r="U221" i="4" s="1"/>
  <c r="R221" i="4"/>
  <c r="W220" i="4"/>
  <c r="U220" i="4" s="1"/>
  <c r="R220" i="4"/>
  <c r="W219" i="4"/>
  <c r="U219" i="4" s="1"/>
  <c r="R219" i="4"/>
  <c r="W218" i="4"/>
  <c r="U218" i="4" s="1"/>
  <c r="R218" i="4"/>
  <c r="Z217" i="4"/>
  <c r="Y217" i="4"/>
  <c r="X217" i="4"/>
  <c r="V217" i="4"/>
  <c r="T217" i="4"/>
  <c r="S217" i="4"/>
  <c r="O217" i="4"/>
  <c r="L217" i="4"/>
  <c r="W215" i="4"/>
  <c r="U215" i="4" s="1"/>
  <c r="R215" i="4"/>
  <c r="W214" i="4"/>
  <c r="U214" i="4" s="1"/>
  <c r="R214" i="4"/>
  <c r="W213" i="4"/>
  <c r="U213" i="4" s="1"/>
  <c r="R213" i="4"/>
  <c r="W212" i="4"/>
  <c r="U212" i="4" s="1"/>
  <c r="R212" i="4"/>
  <c r="W211" i="4"/>
  <c r="U211" i="4" s="1"/>
  <c r="R211" i="4"/>
  <c r="W210" i="4"/>
  <c r="U210" i="4" s="1"/>
  <c r="R210" i="4"/>
  <c r="W209" i="4"/>
  <c r="U209" i="4" s="1"/>
  <c r="R209" i="4"/>
  <c r="W208" i="4"/>
  <c r="U208" i="4" s="1"/>
  <c r="R208" i="4"/>
  <c r="Z207" i="4"/>
  <c r="Y207" i="4"/>
  <c r="X207" i="4"/>
  <c r="V207" i="4"/>
  <c r="T207" i="4"/>
  <c r="S207" i="4"/>
  <c r="O207" i="4"/>
  <c r="L207" i="4"/>
  <c r="W205" i="4"/>
  <c r="U205" i="4" s="1"/>
  <c r="R205" i="4"/>
  <c r="W204" i="4"/>
  <c r="U204" i="4" s="1"/>
  <c r="R204" i="4"/>
  <c r="W203" i="4"/>
  <c r="U203" i="4" s="1"/>
  <c r="R203" i="4"/>
  <c r="W202" i="4"/>
  <c r="U202" i="4" s="1"/>
  <c r="R202" i="4"/>
  <c r="W201" i="4"/>
  <c r="U201" i="4" s="1"/>
  <c r="R201" i="4"/>
  <c r="W200" i="4"/>
  <c r="U200" i="4" s="1"/>
  <c r="R200" i="4"/>
  <c r="W199" i="4"/>
  <c r="U199" i="4" s="1"/>
  <c r="R199" i="4"/>
  <c r="W198" i="4"/>
  <c r="U198" i="4" s="1"/>
  <c r="R198" i="4"/>
  <c r="Z197" i="4"/>
  <c r="Y197" i="4"/>
  <c r="X197" i="4"/>
  <c r="V197" i="4"/>
  <c r="T197" i="4"/>
  <c r="S197" i="4"/>
  <c r="O197" i="4"/>
  <c r="L197" i="4"/>
  <c r="W195" i="4"/>
  <c r="U195" i="4" s="1"/>
  <c r="R195" i="4"/>
  <c r="W194" i="4"/>
  <c r="U194" i="4" s="1"/>
  <c r="R194" i="4"/>
  <c r="W193" i="4"/>
  <c r="U193" i="4" s="1"/>
  <c r="R193" i="4"/>
  <c r="W192" i="4"/>
  <c r="R192" i="4"/>
  <c r="O192" i="4"/>
  <c r="O191" i="4" s="1"/>
  <c r="Z191" i="4"/>
  <c r="Y191" i="4"/>
  <c r="X191" i="4"/>
  <c r="V191" i="4"/>
  <c r="T191" i="4"/>
  <c r="S191" i="4"/>
  <c r="L191" i="4"/>
  <c r="W189" i="4"/>
  <c r="U189" i="4" s="1"/>
  <c r="R189" i="4"/>
  <c r="W188" i="4"/>
  <c r="U188" i="4" s="1"/>
  <c r="R188" i="4"/>
  <c r="W187" i="4"/>
  <c r="U187" i="4" s="1"/>
  <c r="R187" i="4"/>
  <c r="W186" i="4"/>
  <c r="U186" i="4" s="1"/>
  <c r="R186" i="4"/>
  <c r="O186" i="4"/>
  <c r="W185" i="4"/>
  <c r="U185" i="4" s="1"/>
  <c r="R185" i="4"/>
  <c r="O185" i="4"/>
  <c r="W184" i="4"/>
  <c r="U184" i="4" s="1"/>
  <c r="R184" i="4"/>
  <c r="W183" i="4"/>
  <c r="U183" i="4" s="1"/>
  <c r="R183" i="4"/>
  <c r="O183" i="4"/>
  <c r="W182" i="4"/>
  <c r="U182" i="4" s="1"/>
  <c r="R182" i="4"/>
  <c r="Z181" i="4"/>
  <c r="Y181" i="4"/>
  <c r="X181" i="4"/>
  <c r="V181" i="4"/>
  <c r="T181" i="4"/>
  <c r="S181" i="4"/>
  <c r="L181" i="4"/>
  <c r="W179" i="4"/>
  <c r="U179" i="4" s="1"/>
  <c r="R179" i="4"/>
  <c r="W178" i="4"/>
  <c r="U178" i="4" s="1"/>
  <c r="R178" i="4"/>
  <c r="W177" i="4"/>
  <c r="U177" i="4" s="1"/>
  <c r="R177" i="4"/>
  <c r="O177" i="4"/>
  <c r="O176" i="4" s="1"/>
  <c r="Z176" i="4"/>
  <c r="Y176" i="4"/>
  <c r="X176" i="4"/>
  <c r="V176" i="4"/>
  <c r="T176" i="4"/>
  <c r="S176" i="4"/>
  <c r="L176" i="4"/>
  <c r="W174" i="4"/>
  <c r="U174" i="4" s="1"/>
  <c r="R174" i="4"/>
  <c r="W173" i="4"/>
  <c r="U173" i="4" s="1"/>
  <c r="R173" i="4"/>
  <c r="W172" i="4"/>
  <c r="U172" i="4" s="1"/>
  <c r="R172" i="4"/>
  <c r="O172" i="4"/>
  <c r="W171" i="4"/>
  <c r="U171" i="4" s="1"/>
  <c r="R171" i="4"/>
  <c r="W170" i="4"/>
  <c r="U170" i="4" s="1"/>
  <c r="R170" i="4"/>
  <c r="O170" i="4"/>
  <c r="W169" i="4"/>
  <c r="R169" i="4"/>
  <c r="Z168" i="4"/>
  <c r="Y168" i="4"/>
  <c r="X168" i="4"/>
  <c r="V168" i="4"/>
  <c r="T168" i="4"/>
  <c r="S168" i="4"/>
  <c r="L168" i="4"/>
  <c r="W166" i="4"/>
  <c r="U166" i="4" s="1"/>
  <c r="R166" i="4"/>
  <c r="W165" i="4"/>
  <c r="U165" i="4" s="1"/>
  <c r="R165" i="4"/>
  <c r="O165" i="4"/>
  <c r="W164" i="4"/>
  <c r="U164" i="4" s="1"/>
  <c r="R164" i="4"/>
  <c r="W163" i="4"/>
  <c r="U163" i="4" s="1"/>
  <c r="R163" i="4"/>
  <c r="O163" i="4"/>
  <c r="W162" i="4"/>
  <c r="U162" i="4" s="1"/>
  <c r="R162" i="4"/>
  <c r="Z161" i="4"/>
  <c r="Y161" i="4"/>
  <c r="X161" i="4"/>
  <c r="V161" i="4"/>
  <c r="T161" i="4"/>
  <c r="S161" i="4"/>
  <c r="L161" i="4"/>
  <c r="W159" i="4"/>
  <c r="U159" i="4" s="1"/>
  <c r="R159" i="4"/>
  <c r="W158" i="4"/>
  <c r="U158" i="4" s="1"/>
  <c r="R158" i="4"/>
  <c r="W157" i="4"/>
  <c r="U157" i="4" s="1"/>
  <c r="R157" i="4"/>
  <c r="O157" i="4"/>
  <c r="W156" i="4"/>
  <c r="R156" i="4"/>
  <c r="O156" i="4"/>
  <c r="Z155" i="4"/>
  <c r="Y155" i="4"/>
  <c r="X155" i="4"/>
  <c r="V155" i="4"/>
  <c r="T155" i="4"/>
  <c r="S155" i="4"/>
  <c r="L155" i="4"/>
  <c r="W153" i="4"/>
  <c r="U153" i="4" s="1"/>
  <c r="R153" i="4"/>
  <c r="W152" i="4"/>
  <c r="U152" i="4" s="1"/>
  <c r="R152" i="4"/>
  <c r="W151" i="4"/>
  <c r="U151" i="4" s="1"/>
  <c r="R151" i="4"/>
  <c r="O151" i="4"/>
  <c r="W150" i="4"/>
  <c r="U150" i="4" s="1"/>
  <c r="R150" i="4"/>
  <c r="O150" i="4"/>
  <c r="Z149" i="4"/>
  <c r="Y149" i="4"/>
  <c r="X149" i="4"/>
  <c r="V149" i="4"/>
  <c r="T149" i="4"/>
  <c r="S149" i="4"/>
  <c r="L149" i="4"/>
  <c r="W147" i="4"/>
  <c r="U147" i="4" s="1"/>
  <c r="R147" i="4"/>
  <c r="W146" i="4"/>
  <c r="U146" i="4" s="1"/>
  <c r="R146" i="4"/>
  <c r="W145" i="4"/>
  <c r="U145" i="4" s="1"/>
  <c r="R145" i="4"/>
  <c r="W144" i="4"/>
  <c r="U144" i="4" s="1"/>
  <c r="R144" i="4"/>
  <c r="O144" i="4"/>
  <c r="O143" i="4" s="1"/>
  <c r="Z143" i="4"/>
  <c r="Y143" i="4"/>
  <c r="X143" i="4"/>
  <c r="V143" i="4"/>
  <c r="T143" i="4"/>
  <c r="S143" i="4"/>
  <c r="L143" i="4"/>
  <c r="W141" i="4"/>
  <c r="U141" i="4" s="1"/>
  <c r="R141" i="4"/>
  <c r="W140" i="4"/>
  <c r="U140" i="4" s="1"/>
  <c r="R140" i="4"/>
  <c r="W139" i="4"/>
  <c r="U139" i="4" s="1"/>
  <c r="R139" i="4"/>
  <c r="W138" i="4"/>
  <c r="U138" i="4" s="1"/>
  <c r="R138" i="4"/>
  <c r="O138" i="4"/>
  <c r="O136" i="4" s="1"/>
  <c r="W137" i="4"/>
  <c r="U137" i="4" s="1"/>
  <c r="R137" i="4"/>
  <c r="Z136" i="4"/>
  <c r="Y136" i="4"/>
  <c r="X136" i="4"/>
  <c r="V136" i="4"/>
  <c r="T136" i="4"/>
  <c r="S136" i="4"/>
  <c r="L136" i="4"/>
  <c r="W134" i="4"/>
  <c r="U134" i="4" s="1"/>
  <c r="R134" i="4"/>
  <c r="W133" i="4"/>
  <c r="U133" i="4" s="1"/>
  <c r="R133" i="4"/>
  <c r="O133" i="4"/>
  <c r="W132" i="4"/>
  <c r="U132" i="4" s="1"/>
  <c r="R132" i="4"/>
  <c r="W131" i="4"/>
  <c r="U131" i="4" s="1"/>
  <c r="R131" i="4"/>
  <c r="O131" i="4"/>
  <c r="W130" i="4"/>
  <c r="U130" i="4" s="1"/>
  <c r="R130" i="4"/>
  <c r="O130" i="4"/>
  <c r="W129" i="4"/>
  <c r="U129" i="4" s="1"/>
  <c r="R129" i="4"/>
  <c r="W128" i="4"/>
  <c r="U128" i="4" s="1"/>
  <c r="R128" i="4"/>
  <c r="O128" i="4"/>
  <c r="W127" i="4"/>
  <c r="U127" i="4" s="1"/>
  <c r="R127" i="4"/>
  <c r="Z126" i="4"/>
  <c r="Y126" i="4"/>
  <c r="X126" i="4"/>
  <c r="V126" i="4"/>
  <c r="T126" i="4"/>
  <c r="S126" i="4"/>
  <c r="L126" i="4"/>
  <c r="W124" i="4"/>
  <c r="U124" i="4" s="1"/>
  <c r="R124" i="4"/>
  <c r="W123" i="4"/>
  <c r="U123" i="4" s="1"/>
  <c r="R123" i="4"/>
  <c r="W122" i="4"/>
  <c r="U122" i="4" s="1"/>
  <c r="R122" i="4"/>
  <c r="W121" i="4"/>
  <c r="U121" i="4" s="1"/>
  <c r="R121" i="4"/>
  <c r="O121" i="4"/>
  <c r="W120" i="4"/>
  <c r="U120" i="4" s="1"/>
  <c r="R120" i="4"/>
  <c r="W119" i="4"/>
  <c r="U119" i="4" s="1"/>
  <c r="R119" i="4"/>
  <c r="O119" i="4"/>
  <c r="W118" i="4"/>
  <c r="U118" i="4" s="1"/>
  <c r="R118" i="4"/>
  <c r="O118" i="4"/>
  <c r="W117" i="4"/>
  <c r="U117" i="4" s="1"/>
  <c r="R117" i="4"/>
  <c r="W116" i="4"/>
  <c r="U116" i="4" s="1"/>
  <c r="R116" i="4"/>
  <c r="O116" i="4"/>
  <c r="W115" i="4"/>
  <c r="R115" i="4"/>
  <c r="Z114" i="4"/>
  <c r="Y114" i="4"/>
  <c r="X114" i="4"/>
  <c r="V114" i="4"/>
  <c r="T114" i="4"/>
  <c r="S114" i="4"/>
  <c r="L114" i="4"/>
  <c r="Z109" i="4"/>
  <c r="Y109" i="4"/>
  <c r="X109" i="4"/>
  <c r="W109" i="4"/>
  <c r="V109" i="4"/>
  <c r="U109" i="4"/>
  <c r="T109" i="4"/>
  <c r="S109" i="4"/>
  <c r="R109" i="4"/>
  <c r="Q109" i="4"/>
  <c r="P109" i="4"/>
  <c r="O109" i="4"/>
  <c r="N109" i="4"/>
  <c r="Z107" i="4"/>
  <c r="Y107" i="4"/>
  <c r="X107" i="4"/>
  <c r="W107" i="4"/>
  <c r="V107" i="4"/>
  <c r="U107" i="4"/>
  <c r="T107" i="4"/>
  <c r="S107" i="4"/>
  <c r="R107" i="4"/>
  <c r="Q107" i="4"/>
  <c r="O107" i="4"/>
  <c r="N107" i="4"/>
  <c r="Z105" i="4"/>
  <c r="Y105" i="4"/>
  <c r="X105" i="4"/>
  <c r="W105" i="4"/>
  <c r="V105" i="4"/>
  <c r="U105" i="4"/>
  <c r="T105" i="4"/>
  <c r="S105" i="4"/>
  <c r="R105" i="4"/>
  <c r="Q105" i="4"/>
  <c r="P105" i="4"/>
  <c r="O105" i="4"/>
  <c r="N105" i="4"/>
  <c r="Z104" i="4"/>
  <c r="Y104" i="4"/>
  <c r="X104" i="4"/>
  <c r="W104" i="4"/>
  <c r="V104" i="4"/>
  <c r="U104" i="4"/>
  <c r="T104" i="4"/>
  <c r="S104" i="4"/>
  <c r="R104" i="4"/>
  <c r="Q104" i="4"/>
  <c r="P104" i="4"/>
  <c r="O104" i="4"/>
  <c r="N104" i="4"/>
  <c r="Z102" i="4"/>
  <c r="Y102" i="4"/>
  <c r="X102" i="4"/>
  <c r="W102" i="4"/>
  <c r="V102" i="4"/>
  <c r="U102" i="4"/>
  <c r="T102" i="4"/>
  <c r="S102" i="4"/>
  <c r="R102" i="4"/>
  <c r="Q102" i="4"/>
  <c r="P102" i="4"/>
  <c r="O102" i="4"/>
  <c r="N102" i="4"/>
  <c r="N98" i="4" s="1"/>
  <c r="Z101" i="4"/>
  <c r="Y101" i="4"/>
  <c r="X101" i="4"/>
  <c r="W101" i="4"/>
  <c r="V101" i="4"/>
  <c r="U101" i="4"/>
  <c r="T101" i="4"/>
  <c r="S101" i="4"/>
  <c r="R101" i="4"/>
  <c r="Q101" i="4"/>
  <c r="P101" i="4"/>
  <c r="O101" i="4"/>
  <c r="N101" i="4"/>
  <c r="Z100" i="4"/>
  <c r="Y100" i="4"/>
  <c r="X100" i="4"/>
  <c r="W100" i="4"/>
  <c r="V100" i="4"/>
  <c r="U100" i="4"/>
  <c r="T100" i="4"/>
  <c r="S100" i="4"/>
  <c r="R100" i="4"/>
  <c r="Q100" i="4"/>
  <c r="O100" i="4"/>
  <c r="N100" i="4"/>
  <c r="Z98" i="4"/>
  <c r="Y98" i="4"/>
  <c r="X98" i="4"/>
  <c r="W98" i="4"/>
  <c r="V98" i="4"/>
  <c r="U98" i="4"/>
  <c r="T98" i="4"/>
  <c r="S98" i="4"/>
  <c r="R98" i="4"/>
  <c r="Q98" i="4"/>
  <c r="P98" i="4"/>
  <c r="O98" i="4"/>
  <c r="Z97" i="4"/>
  <c r="Y97" i="4"/>
  <c r="X97" i="4"/>
  <c r="W97" i="4"/>
  <c r="V97" i="4"/>
  <c r="U97" i="4"/>
  <c r="T97" i="4"/>
  <c r="S97" i="4"/>
  <c r="R97" i="4"/>
  <c r="Q97" i="4"/>
  <c r="P97" i="4"/>
  <c r="O97" i="4"/>
  <c r="Z96" i="4"/>
  <c r="Y96" i="4"/>
  <c r="X96" i="4"/>
  <c r="W96" i="4"/>
  <c r="V96" i="4"/>
  <c r="U96" i="4"/>
  <c r="T96" i="4"/>
  <c r="S96" i="4"/>
  <c r="R96" i="4"/>
  <c r="Q96" i="4"/>
  <c r="P96" i="4"/>
  <c r="O96" i="4"/>
  <c r="Z95" i="4"/>
  <c r="Y95" i="4"/>
  <c r="X95" i="4"/>
  <c r="W95" i="4"/>
  <c r="V95" i="4"/>
  <c r="U95" i="4"/>
  <c r="T95" i="4"/>
  <c r="S95" i="4"/>
  <c r="R95" i="4"/>
  <c r="Q95" i="4"/>
  <c r="P95" i="4"/>
  <c r="O95" i="4"/>
  <c r="Z91" i="4"/>
  <c r="Z90" i="4" s="1"/>
  <c r="Y91" i="4"/>
  <c r="Y90" i="4" s="1"/>
  <c r="X91" i="4"/>
  <c r="X90" i="4" s="1"/>
  <c r="W91" i="4"/>
  <c r="W90" i="4" s="1"/>
  <c r="V91" i="4"/>
  <c r="V90" i="4" s="1"/>
  <c r="U91" i="4"/>
  <c r="U90" i="4" s="1"/>
  <c r="T91" i="4"/>
  <c r="T90" i="4" s="1"/>
  <c r="S91" i="4"/>
  <c r="S90" i="4" s="1"/>
  <c r="R91" i="4"/>
  <c r="R90" i="4" s="1"/>
  <c r="Q91" i="4"/>
  <c r="Q90" i="4" s="1"/>
  <c r="O91" i="4"/>
  <c r="O90" i="4" s="1"/>
  <c r="N91" i="4"/>
  <c r="N90" i="4" s="1"/>
  <c r="Z86" i="4"/>
  <c r="Z85" i="4" s="1"/>
  <c r="Y86" i="4"/>
  <c r="Y85" i="4" s="1"/>
  <c r="X86" i="4"/>
  <c r="X85" i="4" s="1"/>
  <c r="W86" i="4"/>
  <c r="W85" i="4" s="1"/>
  <c r="V86" i="4"/>
  <c r="V85" i="4" s="1"/>
  <c r="U86" i="4"/>
  <c r="U85" i="4" s="1"/>
  <c r="T86" i="4"/>
  <c r="T85" i="4" s="1"/>
  <c r="S86" i="4"/>
  <c r="S85" i="4" s="1"/>
  <c r="R86" i="4"/>
  <c r="R85" i="4" s="1"/>
  <c r="Q86" i="4"/>
  <c r="Q85" i="4" s="1"/>
  <c r="O86" i="4"/>
  <c r="O85" i="4" s="1"/>
  <c r="N86" i="4"/>
  <c r="N85" i="4" s="1"/>
  <c r="P54" i="4"/>
  <c r="P52" i="4"/>
  <c r="L45" i="4"/>
  <c r="L36" i="4"/>
  <c r="L28" i="4"/>
  <c r="L17" i="4"/>
  <c r="Q747" i="4" l="1"/>
  <c r="Q751" i="4"/>
  <c r="Q755" i="4"/>
  <c r="Q759" i="4"/>
  <c r="Q735" i="4"/>
  <c r="Q1193" i="4"/>
  <c r="Q1181" i="4"/>
  <c r="Q1197" i="4"/>
  <c r="Q1018" i="4"/>
  <c r="Q1032" i="4"/>
  <c r="Q1034" i="4"/>
  <c r="Q1168" i="4"/>
  <c r="Q1199" i="4"/>
  <c r="Q1217" i="4"/>
  <c r="Q799" i="4"/>
  <c r="Q807" i="4"/>
  <c r="Q833" i="4"/>
  <c r="Q867" i="4"/>
  <c r="Q871" i="4"/>
  <c r="Q873" i="4"/>
  <c r="Q877" i="4"/>
  <c r="Q879" i="4"/>
  <c r="Q694" i="4"/>
  <c r="Q786" i="4"/>
  <c r="Q1041" i="4"/>
  <c r="Q1053" i="4"/>
  <c r="Q854" i="4"/>
  <c r="Q860" i="4"/>
  <c r="Q862" i="4"/>
  <c r="Q864" i="4"/>
  <c r="R722" i="4"/>
  <c r="R848" i="4"/>
  <c r="U143" i="4"/>
  <c r="Q193" i="4"/>
  <c r="Q351" i="4"/>
  <c r="Q381" i="4"/>
  <c r="Q959" i="4"/>
  <c r="Q967" i="4"/>
  <c r="Q1000" i="4"/>
  <c r="Q213" i="4"/>
  <c r="Q425" i="4"/>
  <c r="Q137" i="4"/>
  <c r="Q209" i="4"/>
  <c r="Q419" i="4"/>
  <c r="R385" i="4"/>
  <c r="Q849" i="4"/>
  <c r="Q851" i="4"/>
  <c r="Q855" i="4"/>
  <c r="W866" i="4"/>
  <c r="Q906" i="4"/>
  <c r="Q918" i="4"/>
  <c r="Q298" i="4"/>
  <c r="Q308" i="4"/>
  <c r="Q310" i="4"/>
  <c r="Q320" i="4"/>
  <c r="Q330" i="4"/>
  <c r="Q340" i="4"/>
  <c r="Q348" i="4"/>
  <c r="Q410" i="4"/>
  <c r="Q520" i="4"/>
  <c r="Q524" i="4"/>
  <c r="Q544" i="4"/>
  <c r="Q618" i="4"/>
  <c r="Q634" i="4"/>
  <c r="Q642" i="4"/>
  <c r="Q646" i="4"/>
  <c r="Q714" i="4"/>
  <c r="R902" i="4"/>
  <c r="Q972" i="4"/>
  <c r="N96" i="4"/>
  <c r="Q312" i="4"/>
  <c r="Q346" i="4"/>
  <c r="Q362" i="4"/>
  <c r="Q382" i="4"/>
  <c r="Q402" i="4"/>
  <c r="Q536" i="4"/>
  <c r="R559" i="4"/>
  <c r="Q1002" i="4"/>
  <c r="Q1296" i="4"/>
  <c r="R1124" i="4"/>
  <c r="Q211" i="4"/>
  <c r="Q357" i="4"/>
  <c r="Q383" i="4"/>
  <c r="Q397" i="4"/>
  <c r="Q509" i="4"/>
  <c r="Q515" i="4"/>
  <c r="Q527" i="4"/>
  <c r="Q531" i="4"/>
  <c r="Q551" i="4"/>
  <c r="Q557" i="4"/>
  <c r="Q710" i="4"/>
  <c r="R740" i="4"/>
  <c r="Q1014" i="4"/>
  <c r="Q1030" i="4"/>
  <c r="Q1042" i="4"/>
  <c r="Q1302" i="4"/>
  <c r="Q359" i="4"/>
  <c r="Q379" i="4"/>
  <c r="Q389" i="4"/>
  <c r="Q399" i="4"/>
  <c r="Q553" i="4"/>
  <c r="Q627" i="4"/>
  <c r="R197" i="4"/>
  <c r="R227" i="4"/>
  <c r="R247" i="4"/>
  <c r="R257" i="4"/>
  <c r="Q1016" i="4"/>
  <c r="Q1044" i="4"/>
  <c r="R650" i="4"/>
  <c r="U507" i="4"/>
  <c r="Q784" i="4"/>
  <c r="Q869" i="4"/>
  <c r="Q875" i="4"/>
  <c r="Q881" i="4"/>
  <c r="Q964" i="4"/>
  <c r="Q1061" i="4"/>
  <c r="Q525" i="4"/>
  <c r="Q545" i="4"/>
  <c r="Q555" i="4"/>
  <c r="Q623" i="4"/>
  <c r="R267" i="4"/>
  <c r="R305" i="4"/>
  <c r="Q502" i="4"/>
  <c r="Q504" i="4"/>
  <c r="Q510" i="4"/>
  <c r="Q512" i="4"/>
  <c r="Q534" i="4"/>
  <c r="Q675" i="4"/>
  <c r="Q683" i="4"/>
  <c r="Q687" i="4"/>
  <c r="Q762" i="4"/>
  <c r="Q1020" i="4"/>
  <c r="Q1036" i="4"/>
  <c r="Q1048" i="4"/>
  <c r="Q1050" i="4"/>
  <c r="Q1052" i="4"/>
  <c r="Q1054" i="4"/>
  <c r="Q1056" i="4"/>
  <c r="Q1062" i="4"/>
  <c r="Q1080" i="4"/>
  <c r="Q1102" i="4"/>
  <c r="Q1177" i="4"/>
  <c r="Q1189" i="4"/>
  <c r="Q186" i="4"/>
  <c r="Q188" i="4"/>
  <c r="Q572" i="4"/>
  <c r="Q574" i="4"/>
  <c r="Q582" i="4"/>
  <c r="Q584" i="4"/>
  <c r="Q586" i="4"/>
  <c r="Q592" i="4"/>
  <c r="Q594" i="4"/>
  <c r="Q596" i="4"/>
  <c r="Q602" i="4"/>
  <c r="Q604" i="4"/>
  <c r="Q606" i="4"/>
  <c r="Q626" i="4"/>
  <c r="Q651" i="4"/>
  <c r="Q818" i="4"/>
  <c r="Q832" i="4"/>
  <c r="Q1201" i="4"/>
  <c r="Q1219" i="4"/>
  <c r="Q1221" i="4"/>
  <c r="Q1223" i="4"/>
  <c r="Q145" i="4"/>
  <c r="Q147" i="4"/>
  <c r="Q162" i="4"/>
  <c r="Q189" i="4"/>
  <c r="Q215" i="4"/>
  <c r="Q299" i="4"/>
  <c r="Q301" i="4"/>
  <c r="Q307" i="4"/>
  <c r="Q317" i="4"/>
  <c r="Q321" i="4"/>
  <c r="Q333" i="4"/>
  <c r="Q337" i="4"/>
  <c r="Q341" i="4"/>
  <c r="Q343" i="4"/>
  <c r="R457" i="4"/>
  <c r="Q647" i="4"/>
  <c r="Q652" i="4"/>
  <c r="Q781" i="4"/>
  <c r="Q783" i="4"/>
  <c r="Q787" i="4"/>
  <c r="Q914" i="4"/>
  <c r="Q916" i="4"/>
  <c r="Q1037" i="4"/>
  <c r="Q1065" i="4"/>
  <c r="Q1073" i="4"/>
  <c r="Q1079" i="4"/>
  <c r="Q1087" i="4"/>
  <c r="Q1095" i="4"/>
  <c r="U1257" i="4"/>
  <c r="U1235" i="4" s="1"/>
  <c r="Q1305" i="4"/>
  <c r="Q1298" i="4"/>
  <c r="Q1282" i="4"/>
  <c r="Q1284" i="4"/>
  <c r="W1259" i="4"/>
  <c r="Q1178" i="4"/>
  <c r="Q1180" i="4"/>
  <c r="Q1182" i="4"/>
  <c r="Q1167" i="4"/>
  <c r="Q1161" i="4"/>
  <c r="Q1107" i="4"/>
  <c r="Q1109" i="4"/>
  <c r="Q1111" i="4"/>
  <c r="Q1033" i="4"/>
  <c r="Q1025" i="4"/>
  <c r="Q993" i="4"/>
  <c r="Q995" i="4"/>
  <c r="U974" i="4"/>
  <c r="R956" i="4"/>
  <c r="Q971" i="4"/>
  <c r="Q963" i="4"/>
  <c r="W848" i="4"/>
  <c r="Q857" i="4"/>
  <c r="Q834" i="4"/>
  <c r="Q840" i="4"/>
  <c r="Q844" i="4"/>
  <c r="Q846" i="4"/>
  <c r="Q819" i="4"/>
  <c r="Q816" i="4"/>
  <c r="Q822" i="4"/>
  <c r="W794" i="4"/>
  <c r="Q802" i="4"/>
  <c r="Q804" i="4"/>
  <c r="Q808" i="4"/>
  <c r="Q767" i="4"/>
  <c r="Q742" i="4"/>
  <c r="Q734" i="4"/>
  <c r="Q715" i="4"/>
  <c r="Q702" i="4"/>
  <c r="Q699" i="4"/>
  <c r="Q670" i="4"/>
  <c r="Q682" i="4"/>
  <c r="Q674" i="4"/>
  <c r="Q576" i="4"/>
  <c r="Q547" i="4"/>
  <c r="Q533" i="4"/>
  <c r="R477" i="4"/>
  <c r="Q367" i="4"/>
  <c r="Q326" i="4"/>
  <c r="Q328" i="4"/>
  <c r="Q323" i="4"/>
  <c r="O161" i="4"/>
  <c r="Q159" i="4"/>
  <c r="Q158" i="4"/>
  <c r="Q212" i="4"/>
  <c r="Q124" i="4"/>
  <c r="O126" i="4"/>
  <c r="Q153" i="4"/>
  <c r="O155" i="4"/>
  <c r="Q157" i="4"/>
  <c r="Q166" i="4"/>
  <c r="R207" i="4"/>
  <c r="Q292" i="4"/>
  <c r="W295" i="4"/>
  <c r="W315" i="4"/>
  <c r="Q370" i="4"/>
  <c r="Q372" i="4"/>
  <c r="Q378" i="4"/>
  <c r="Q387" i="4"/>
  <c r="Q392" i="4"/>
  <c r="Q408" i="4"/>
  <c r="Q413" i="4"/>
  <c r="Q422" i="4"/>
  <c r="U487" i="4"/>
  <c r="Q128" i="4"/>
  <c r="Q172" i="4"/>
  <c r="Q174" i="4"/>
  <c r="Q280" i="4"/>
  <c r="Q282" i="4"/>
  <c r="Q284" i="4"/>
  <c r="Q286" i="4"/>
  <c r="Q313" i="4"/>
  <c r="Q318" i="4"/>
  <c r="Q331" i="4"/>
  <c r="Q338" i="4"/>
  <c r="R345" i="4"/>
  <c r="W355" i="4"/>
  <c r="R355" i="4"/>
  <c r="Q369" i="4"/>
  <c r="Q377" i="4"/>
  <c r="R437" i="4"/>
  <c r="Q133" i="4"/>
  <c r="Q184" i="4"/>
  <c r="Q210" i="4"/>
  <c r="Q214" i="4"/>
  <c r="U227" i="4"/>
  <c r="R375" i="4"/>
  <c r="R407" i="4"/>
  <c r="Q474" i="4"/>
  <c r="R417" i="4"/>
  <c r="Q488" i="4"/>
  <c r="Q491" i="4"/>
  <c r="Q494" i="4"/>
  <c r="Q540" i="4"/>
  <c r="Q542" i="4"/>
  <c r="Q615" i="4"/>
  <c r="Q617" i="4"/>
  <c r="Q619" i="4"/>
  <c r="Q658" i="4"/>
  <c r="Q673" i="4"/>
  <c r="Q676" i="4"/>
  <c r="Q707" i="4"/>
  <c r="Q726" i="4"/>
  <c r="R758" i="4"/>
  <c r="W758" i="4"/>
  <c r="Q788" i="4"/>
  <c r="Q813" i="4"/>
  <c r="Q817" i="4"/>
  <c r="Q839" i="4"/>
  <c r="Q841" i="4"/>
  <c r="Q852" i="4"/>
  <c r="Q856" i="4"/>
  <c r="Q859" i="4"/>
  <c r="Q861" i="4"/>
  <c r="Q892" i="4"/>
  <c r="Q895" i="4"/>
  <c r="Q904" i="4"/>
  <c r="Q910" i="4"/>
  <c r="Q912" i="4"/>
  <c r="Q927" i="4"/>
  <c r="Q930" i="4"/>
  <c r="W956" i="4"/>
  <c r="Q968" i="4"/>
  <c r="Q977" i="4"/>
  <c r="Q981" i="4"/>
  <c r="Q985" i="4"/>
  <c r="Q989" i="4"/>
  <c r="R992" i="4"/>
  <c r="Q1057" i="4"/>
  <c r="Q1090" i="4"/>
  <c r="Q1098" i="4"/>
  <c r="Q1100" i="4"/>
  <c r="U1260" i="4"/>
  <c r="Q1260" i="4" s="1"/>
  <c r="Q1287" i="4"/>
  <c r="W650" i="4"/>
  <c r="Q780" i="4"/>
  <c r="R776" i="4"/>
  <c r="Q888" i="4"/>
  <c r="Q891" i="4"/>
  <c r="W884" i="4"/>
  <c r="U902" i="4"/>
  <c r="Q923" i="4"/>
  <c r="Q926" i="4"/>
  <c r="Q935" i="4"/>
  <c r="Q976" i="4"/>
  <c r="Q980" i="4"/>
  <c r="Q984" i="4"/>
  <c r="Q988" i="4"/>
  <c r="Q481" i="4"/>
  <c r="Q484" i="4"/>
  <c r="Q522" i="4"/>
  <c r="Q537" i="4"/>
  <c r="Q622" i="4"/>
  <c r="Q639" i="4"/>
  <c r="Q643" i="4"/>
  <c r="Q655" i="4"/>
  <c r="Q659" i="4"/>
  <c r="Q663" i="4"/>
  <c r="Q691" i="4"/>
  <c r="Q695" i="4"/>
  <c r="Q746" i="4"/>
  <c r="Q748" i="4"/>
  <c r="Q754" i="4"/>
  <c r="Q766" i="4"/>
  <c r="Q771" i="4"/>
  <c r="Q773" i="4"/>
  <c r="Q779" i="4"/>
  <c r="Q790" i="4"/>
  <c r="Q853" i="4"/>
  <c r="Q887" i="4"/>
  <c r="Q900" i="4"/>
  <c r="Q905" i="4"/>
  <c r="Q907" i="4"/>
  <c r="Q909" i="4"/>
  <c r="Q911" i="4"/>
  <c r="Q913" i="4"/>
  <c r="Q922" i="4"/>
  <c r="Q960" i="4"/>
  <c r="W974" i="4"/>
  <c r="Q975" i="4"/>
  <c r="Q979" i="4"/>
  <c r="R974" i="4"/>
  <c r="Q987" i="4"/>
  <c r="Q996" i="4"/>
  <c r="Q1007" i="4"/>
  <c r="Q1013" i="4"/>
  <c r="Q1015" i="4"/>
  <c r="Q1072" i="4"/>
  <c r="Q1076" i="4"/>
  <c r="Q1078" i="4"/>
  <c r="Q1091" i="4"/>
  <c r="Q1162" i="4"/>
  <c r="Q1172" i="4"/>
  <c r="Q1183" i="4"/>
  <c r="Q1203" i="4"/>
  <c r="Q1276" i="4"/>
  <c r="Q1293" i="4"/>
  <c r="Q789" i="4"/>
  <c r="Q896" i="4"/>
  <c r="Q899" i="4"/>
  <c r="Q931" i="4"/>
  <c r="Q978" i="4"/>
  <c r="Q982" i="4"/>
  <c r="Q986" i="4"/>
  <c r="Q990" i="4"/>
  <c r="Q1188" i="4"/>
  <c r="Q1261" i="4"/>
  <c r="W1280" i="4"/>
  <c r="Q1304" i="4"/>
  <c r="W1300" i="4"/>
  <c r="R1300" i="4"/>
  <c r="Q1307" i="4"/>
  <c r="W1290" i="4"/>
  <c r="R1290" i="4"/>
  <c r="Q1292" i="4"/>
  <c r="Q1294" i="4"/>
  <c r="Q1297" i="4"/>
  <c r="R1280" i="4"/>
  <c r="Q1286" i="4"/>
  <c r="Q1283" i="4"/>
  <c r="Q1288" i="4"/>
  <c r="Q1272" i="4"/>
  <c r="Q1275" i="4"/>
  <c r="W1269" i="4"/>
  <c r="R1269" i="4"/>
  <c r="Q1271" i="4"/>
  <c r="Q1277" i="4"/>
  <c r="Q1266" i="4"/>
  <c r="Q1262" i="4"/>
  <c r="Q1265" i="4"/>
  <c r="R1259" i="4"/>
  <c r="R1225" i="4"/>
  <c r="Q1218" i="4"/>
  <c r="Q1220" i="4"/>
  <c r="Q1222" i="4"/>
  <c r="R1205" i="4"/>
  <c r="Q1179" i="4"/>
  <c r="Q1099" i="4"/>
  <c r="Q1089" i="4"/>
  <c r="Q1088" i="4"/>
  <c r="Q1071" i="4"/>
  <c r="Q1068" i="4"/>
  <c r="Q1070" i="4"/>
  <c r="Q1077" i="4"/>
  <c r="Q1049" i="4"/>
  <c r="Q1051" i="4"/>
  <c r="Q1029" i="4"/>
  <c r="Q1031" i="4"/>
  <c r="Q1021" i="4"/>
  <c r="Q997" i="4"/>
  <c r="Q999" i="4"/>
  <c r="Q1004" i="4"/>
  <c r="Q1006" i="4"/>
  <c r="Q994" i="4"/>
  <c r="Q1003" i="4"/>
  <c r="Q1008" i="4"/>
  <c r="Q998" i="4"/>
  <c r="Q1005" i="4"/>
  <c r="Q983" i="4"/>
  <c r="Q958" i="4"/>
  <c r="Q962" i="4"/>
  <c r="Q966" i="4"/>
  <c r="Q970" i="4"/>
  <c r="Q957" i="4"/>
  <c r="Q961" i="4"/>
  <c r="Q965" i="4"/>
  <c r="Q969" i="4"/>
  <c r="U956" i="4"/>
  <c r="U938" i="4"/>
  <c r="R938" i="4"/>
  <c r="U920" i="4"/>
  <c r="Q934" i="4"/>
  <c r="W920" i="4"/>
  <c r="Q921" i="4"/>
  <c r="Q925" i="4"/>
  <c r="R920" i="4"/>
  <c r="Q933" i="4"/>
  <c r="Q924" i="4"/>
  <c r="Q928" i="4"/>
  <c r="Q932" i="4"/>
  <c r="Q936" i="4"/>
  <c r="Q908" i="4"/>
  <c r="Q915" i="4"/>
  <c r="Q917" i="4"/>
  <c r="U884" i="4"/>
  <c r="Q886" i="4"/>
  <c r="Q890" i="4"/>
  <c r="Q894" i="4"/>
  <c r="Q898" i="4"/>
  <c r="Q885" i="4"/>
  <c r="Q889" i="4"/>
  <c r="Q893" i="4"/>
  <c r="Q897" i="4"/>
  <c r="U866" i="4"/>
  <c r="Q850" i="4"/>
  <c r="Q858" i="4"/>
  <c r="Q863" i="4"/>
  <c r="Q831" i="4"/>
  <c r="Q838" i="4"/>
  <c r="Q835" i="4"/>
  <c r="Q837" i="4"/>
  <c r="Q824" i="4"/>
  <c r="W812" i="4"/>
  <c r="Q825" i="4"/>
  <c r="Q795" i="4"/>
  <c r="Q797" i="4"/>
  <c r="Q810" i="4"/>
  <c r="Q801" i="4"/>
  <c r="R794" i="4"/>
  <c r="Q796" i="4"/>
  <c r="Q798" i="4"/>
  <c r="Q805" i="4"/>
  <c r="Q778" i="4"/>
  <c r="Q782" i="4"/>
  <c r="Q777" i="4"/>
  <c r="Q763" i="4"/>
  <c r="Q765" i="4"/>
  <c r="Q770" i="4"/>
  <c r="Q772" i="4"/>
  <c r="Q774" i="4"/>
  <c r="Q760" i="4"/>
  <c r="Q745" i="4"/>
  <c r="Q750" i="4"/>
  <c r="Q724" i="4"/>
  <c r="Q730" i="4"/>
  <c r="Q723" i="4"/>
  <c r="Q727" i="4"/>
  <c r="Q731" i="4"/>
  <c r="Q738" i="4"/>
  <c r="R704" i="4"/>
  <c r="Q706" i="4"/>
  <c r="Q716" i="4"/>
  <c r="Q690" i="4"/>
  <c r="Q698" i="4"/>
  <c r="Q681" i="4"/>
  <c r="Q678" i="4"/>
  <c r="Q662" i="4"/>
  <c r="Q666" i="4"/>
  <c r="Q654" i="4"/>
  <c r="Q638" i="4"/>
  <c r="Q635" i="4"/>
  <c r="R632" i="4"/>
  <c r="Q630" i="4"/>
  <c r="Q625" i="4"/>
  <c r="Q620" i="4"/>
  <c r="R614" i="4"/>
  <c r="Q541" i="4"/>
  <c r="Q514" i="4"/>
  <c r="Q511" i="4"/>
  <c r="Q513" i="4"/>
  <c r="Q503" i="4"/>
  <c r="Q489" i="4"/>
  <c r="Q492" i="4"/>
  <c r="Q495" i="4"/>
  <c r="Q480" i="4"/>
  <c r="Q485" i="4"/>
  <c r="W467" i="4"/>
  <c r="Q470" i="4"/>
  <c r="Q473" i="4"/>
  <c r="Q469" i="4"/>
  <c r="Q462" i="4"/>
  <c r="Q465" i="4"/>
  <c r="Q458" i="4"/>
  <c r="Q461" i="4"/>
  <c r="W447" i="4"/>
  <c r="W427" i="4"/>
  <c r="Q421" i="4"/>
  <c r="Q424" i="4"/>
  <c r="Q418" i="4"/>
  <c r="Q423" i="4"/>
  <c r="Q420" i="4"/>
  <c r="Q412" i="4"/>
  <c r="Q415" i="4"/>
  <c r="Q409" i="4"/>
  <c r="Q414" i="4"/>
  <c r="Q411" i="4"/>
  <c r="W395" i="4"/>
  <c r="R395" i="4"/>
  <c r="Q401" i="4"/>
  <c r="Q398" i="4"/>
  <c r="Q403" i="4"/>
  <c r="Q400" i="4"/>
  <c r="Q391" i="4"/>
  <c r="Q388" i="4"/>
  <c r="Q393" i="4"/>
  <c r="Q390" i="4"/>
  <c r="W375" i="4"/>
  <c r="Q380" i="4"/>
  <c r="Q366" i="4"/>
  <c r="W365" i="4"/>
  <c r="Q368" i="4"/>
  <c r="Q371" i="4"/>
  <c r="Q373" i="4"/>
  <c r="R365" i="4"/>
  <c r="Q361" i="4"/>
  <c r="Q358" i="4"/>
  <c r="Q363" i="4"/>
  <c r="Q360" i="4"/>
  <c r="Q350" i="4"/>
  <c r="Q353" i="4"/>
  <c r="Q347" i="4"/>
  <c r="Q352" i="4"/>
  <c r="Q349" i="4"/>
  <c r="R335" i="4"/>
  <c r="Q339" i="4"/>
  <c r="Q342" i="4"/>
  <c r="W335" i="4"/>
  <c r="Q327" i="4"/>
  <c r="R325" i="4"/>
  <c r="Q332" i="4"/>
  <c r="Q329" i="4"/>
  <c r="W325" i="4"/>
  <c r="R315" i="4"/>
  <c r="Q319" i="4"/>
  <c r="Q322" i="4"/>
  <c r="Q306" i="4"/>
  <c r="Q309" i="4"/>
  <c r="Q311" i="4"/>
  <c r="Q303" i="4"/>
  <c r="Q297" i="4"/>
  <c r="Q300" i="4"/>
  <c r="R295" i="4"/>
  <c r="Q302" i="4"/>
  <c r="W289" i="4"/>
  <c r="R289" i="4"/>
  <c r="Q293" i="4"/>
  <c r="U267" i="4"/>
  <c r="Q259" i="4"/>
  <c r="Q261" i="4"/>
  <c r="Q263" i="4"/>
  <c r="Q265" i="4"/>
  <c r="Q238" i="4"/>
  <c r="Q240" i="4"/>
  <c r="Q242" i="4"/>
  <c r="Q244" i="4"/>
  <c r="R217" i="4"/>
  <c r="Q195" i="4"/>
  <c r="Q194" i="4"/>
  <c r="R181" i="4"/>
  <c r="Q183" i="4"/>
  <c r="Q187" i="4"/>
  <c r="O181" i="4"/>
  <c r="W176" i="4"/>
  <c r="Q165" i="4"/>
  <c r="Q164" i="4"/>
  <c r="Q151" i="4"/>
  <c r="Q140" i="4"/>
  <c r="Q130" i="4"/>
  <c r="Q118" i="4"/>
  <c r="Q120" i="4"/>
  <c r="Q121" i="4"/>
  <c r="N95" i="4"/>
  <c r="N97" i="4"/>
  <c r="O114" i="4"/>
  <c r="Q132" i="4"/>
  <c r="W136" i="4"/>
  <c r="Q122" i="4"/>
  <c r="Q127" i="4"/>
  <c r="Q134" i="4"/>
  <c r="Q138" i="4"/>
  <c r="R143" i="4"/>
  <c r="Q144" i="4"/>
  <c r="Q146" i="4"/>
  <c r="R149" i="4"/>
  <c r="W155" i="4"/>
  <c r="U156" i="4"/>
  <c r="U155" i="4" s="1"/>
  <c r="Q356" i="4"/>
  <c r="U355" i="4"/>
  <c r="U457" i="4"/>
  <c r="U115" i="4"/>
  <c r="U114" i="4" s="1"/>
  <c r="W114" i="4"/>
  <c r="W168" i="4"/>
  <c r="U169" i="4"/>
  <c r="Q386" i="4"/>
  <c r="U385" i="4"/>
  <c r="W161" i="4"/>
  <c r="U192" i="4"/>
  <c r="U191" i="4" s="1"/>
  <c r="W191" i="4"/>
  <c r="Q316" i="4"/>
  <c r="U315" i="4"/>
  <c r="Q119" i="4"/>
  <c r="W143" i="4"/>
  <c r="Q152" i="4"/>
  <c r="Q173" i="4"/>
  <c r="U437" i="4"/>
  <c r="U477" i="4"/>
  <c r="Q116" i="4"/>
  <c r="Q123" i="4"/>
  <c r="Q139" i="4"/>
  <c r="W149" i="4"/>
  <c r="O149" i="4"/>
  <c r="R161" i="4"/>
  <c r="Q179" i="4"/>
  <c r="R191" i="4"/>
  <c r="Q199" i="4"/>
  <c r="Q201" i="4"/>
  <c r="Q203" i="4"/>
  <c r="Q205" i="4"/>
  <c r="Q220" i="4"/>
  <c r="Q222" i="4"/>
  <c r="Q224" i="4"/>
  <c r="Q228" i="4"/>
  <c r="Q230" i="4"/>
  <c r="Q232" i="4"/>
  <c r="Q234" i="4"/>
  <c r="Q249" i="4"/>
  <c r="Q251" i="4"/>
  <c r="Q253" i="4"/>
  <c r="Q255" i="4"/>
  <c r="U257" i="4"/>
  <c r="Q268" i="4"/>
  <c r="Q270" i="4"/>
  <c r="Q272" i="4"/>
  <c r="Q274" i="4"/>
  <c r="U291" i="4"/>
  <c r="Q291" i="4" s="1"/>
  <c r="U296" i="4"/>
  <c r="U305" i="4"/>
  <c r="U336" i="4"/>
  <c r="U345" i="4"/>
  <c r="U376" i="4"/>
  <c r="U396" i="4"/>
  <c r="U428" i="4"/>
  <c r="U427" i="4" s="1"/>
  <c r="Q431" i="4"/>
  <c r="Q435" i="4"/>
  <c r="Q439" i="4"/>
  <c r="Q443" i="4"/>
  <c r="U448" i="4"/>
  <c r="U447" i="4" s="1"/>
  <c r="Q451" i="4"/>
  <c r="Q455" i="4"/>
  <c r="Q459" i="4"/>
  <c r="Q463" i="4"/>
  <c r="U468" i="4"/>
  <c r="U467" i="4" s="1"/>
  <c r="Q471" i="4"/>
  <c r="Q475" i="4"/>
  <c r="Q478" i="4"/>
  <c r="Q482" i="4"/>
  <c r="W487" i="4"/>
  <c r="Q490" i="4"/>
  <c r="Q499" i="4"/>
  <c r="Q521" i="4"/>
  <c r="Q532" i="4"/>
  <c r="Q552" i="4"/>
  <c r="Q430" i="4"/>
  <c r="Q434" i="4"/>
  <c r="Q438" i="4"/>
  <c r="Q442" i="4"/>
  <c r="Q450" i="4"/>
  <c r="Q454" i="4"/>
  <c r="Q141" i="4"/>
  <c r="O168" i="4"/>
  <c r="Q171" i="4"/>
  <c r="Q178" i="4"/>
  <c r="Q200" i="4"/>
  <c r="Q202" i="4"/>
  <c r="Q204" i="4"/>
  <c r="Q219" i="4"/>
  <c r="Q221" i="4"/>
  <c r="Q223" i="4"/>
  <c r="Q225" i="4"/>
  <c r="R237" i="4"/>
  <c r="R279" i="4"/>
  <c r="W305" i="4"/>
  <c r="U325" i="4"/>
  <c r="W345" i="4"/>
  <c r="U365" i="4"/>
  <c r="W407" i="4"/>
  <c r="Q429" i="4"/>
  <c r="Q433" i="4"/>
  <c r="Q441" i="4"/>
  <c r="Q445" i="4"/>
  <c r="Q449" i="4"/>
  <c r="Q453" i="4"/>
  <c r="W477" i="4"/>
  <c r="R487" i="4"/>
  <c r="R497" i="4"/>
  <c r="Q170" i="4"/>
  <c r="R176" i="4"/>
  <c r="Q185" i="4"/>
  <c r="W385" i="4"/>
  <c r="W417" i="4"/>
  <c r="R427" i="4"/>
  <c r="Q432" i="4"/>
  <c r="W437" i="4"/>
  <c r="Q440" i="4"/>
  <c r="Q444" i="4"/>
  <c r="R447" i="4"/>
  <c r="Q452" i="4"/>
  <c r="W457" i="4"/>
  <c r="Q460" i="4"/>
  <c r="Q464" i="4"/>
  <c r="R467" i="4"/>
  <c r="Q472" i="4"/>
  <c r="Q479" i="4"/>
  <c r="Q483" i="4"/>
  <c r="W497" i="4"/>
  <c r="U498" i="4"/>
  <c r="U497" i="4" s="1"/>
  <c r="Q500" i="4"/>
  <c r="W507" i="4"/>
  <c r="Q523" i="4"/>
  <c r="Q526" i="4"/>
  <c r="Q530" i="4"/>
  <c r="Q535" i="4"/>
  <c r="Q543" i="4"/>
  <c r="Q546" i="4"/>
  <c r="Q550" i="4"/>
  <c r="Q561" i="4"/>
  <c r="Q563" i="4"/>
  <c r="Q565" i="4"/>
  <c r="Q567" i="4"/>
  <c r="Q628" i="4"/>
  <c r="Q633" i="4"/>
  <c r="Q636" i="4"/>
  <c r="Q644" i="4"/>
  <c r="Q657" i="4"/>
  <c r="Q660" i="4"/>
  <c r="Q671" i="4"/>
  <c r="Q684" i="4"/>
  <c r="Q711" i="4"/>
  <c r="Q718" i="4"/>
  <c r="Q761" i="4"/>
  <c r="Q768" i="4"/>
  <c r="Q785" i="4"/>
  <c r="Q803" i="4"/>
  <c r="Q827" i="4"/>
  <c r="R830" i="4"/>
  <c r="W830" i="4"/>
  <c r="Q903" i="4"/>
  <c r="W614" i="4"/>
  <c r="Q616" i="4"/>
  <c r="Q621" i="4"/>
  <c r="Q624" i="4"/>
  <c r="Q629" i="4"/>
  <c r="Q637" i="4"/>
  <c r="Q640" i="4"/>
  <c r="Q645" i="4"/>
  <c r="Q648" i="4"/>
  <c r="R668" i="4"/>
  <c r="Q697" i="4"/>
  <c r="Q700" i="4"/>
  <c r="Q705" i="4"/>
  <c r="Q708" i="4"/>
  <c r="Q737" i="4"/>
  <c r="Q791" i="4"/>
  <c r="Q1001" i="4"/>
  <c r="U992" i="4"/>
  <c r="Q493" i="4"/>
  <c r="Q501" i="4"/>
  <c r="Q505" i="4"/>
  <c r="Q508" i="4"/>
  <c r="W569" i="4"/>
  <c r="W579" i="4"/>
  <c r="W589" i="4"/>
  <c r="W599" i="4"/>
  <c r="Q665" i="4"/>
  <c r="Q679" i="4"/>
  <c r="R686" i="4"/>
  <c r="Q689" i="4"/>
  <c r="Q692" i="4"/>
  <c r="Q719" i="4"/>
  <c r="Q729" i="4"/>
  <c r="Q732" i="4"/>
  <c r="Q743" i="4"/>
  <c r="Q753" i="4"/>
  <c r="Q756" i="4"/>
  <c r="Q764" i="4"/>
  <c r="U758" i="4"/>
  <c r="Q769" i="4"/>
  <c r="W776" i="4"/>
  <c r="Q815" i="4"/>
  <c r="Q823" i="4"/>
  <c r="R812" i="4"/>
  <c r="Q828" i="4"/>
  <c r="Q843" i="4"/>
  <c r="Q845" i="4"/>
  <c r="U848" i="4"/>
  <c r="Q868" i="4"/>
  <c r="Q870" i="4"/>
  <c r="Q872" i="4"/>
  <c r="Q874" i="4"/>
  <c r="Q876" i="4"/>
  <c r="Q878" i="4"/>
  <c r="Q880" i="4"/>
  <c r="Q882" i="4"/>
  <c r="Q653" i="4"/>
  <c r="Q656" i="4"/>
  <c r="Q661" i="4"/>
  <c r="Q664" i="4"/>
  <c r="Q669" i="4"/>
  <c r="Q672" i="4"/>
  <c r="Q680" i="4"/>
  <c r="Q688" i="4"/>
  <c r="Q693" i="4"/>
  <c r="Q696" i="4"/>
  <c r="Q701" i="4"/>
  <c r="Q709" i="4"/>
  <c r="Q712" i="4"/>
  <c r="Q717" i="4"/>
  <c r="Q720" i="4"/>
  <c r="Q725" i="4"/>
  <c r="Q728" i="4"/>
  <c r="Q733" i="4"/>
  <c r="Q736" i="4"/>
  <c r="Q741" i="4"/>
  <c r="Q744" i="4"/>
  <c r="Q752" i="4"/>
  <c r="Q792" i="4"/>
  <c r="Q800" i="4"/>
  <c r="Q806" i="4"/>
  <c r="Q809" i="4"/>
  <c r="Q814" i="4"/>
  <c r="Q820" i="4"/>
  <c r="Q826" i="4"/>
  <c r="Q836" i="4"/>
  <c r="Q842" i="4"/>
  <c r="R884" i="4"/>
  <c r="W902" i="4"/>
  <c r="Q929" i="4"/>
  <c r="Q941" i="4"/>
  <c r="Q945" i="4"/>
  <c r="W938" i="4"/>
  <c r="Q949" i="4"/>
  <c r="Q953" i="4"/>
  <c r="Q1017" i="4"/>
  <c r="Q1026" i="4"/>
  <c r="R1064" i="4"/>
  <c r="W1064" i="4"/>
  <c r="R866" i="4"/>
  <c r="Q940" i="4"/>
  <c r="Q944" i="4"/>
  <c r="Q948" i="4"/>
  <c r="Q952" i="4"/>
  <c r="Q1069" i="4"/>
  <c r="Q939" i="4"/>
  <c r="Q943" i="4"/>
  <c r="Q947" i="4"/>
  <c r="Q951" i="4"/>
  <c r="W992" i="4"/>
  <c r="Q1012" i="4"/>
  <c r="Q1086" i="4"/>
  <c r="Q942" i="4"/>
  <c r="Q946" i="4"/>
  <c r="Q950" i="4"/>
  <c r="Q954" i="4"/>
  <c r="Q1011" i="4"/>
  <c r="Q1024" i="4"/>
  <c r="Q1038" i="4"/>
  <c r="Q1040" i="4"/>
  <c r="Q1043" i="4"/>
  <c r="Q1047" i="4"/>
  <c r="Q1060" i="4"/>
  <c r="Q1066" i="4"/>
  <c r="Q1074" i="4"/>
  <c r="Q1096" i="4"/>
  <c r="Q1101" i="4"/>
  <c r="Q1126" i="4"/>
  <c r="Q1128" i="4"/>
  <c r="Q1130" i="4"/>
  <c r="Q1132" i="4"/>
  <c r="Q1136" i="4"/>
  <c r="Q1138" i="4"/>
  <c r="Q1140" i="4"/>
  <c r="Q1142" i="4"/>
  <c r="Q1146" i="4"/>
  <c r="Q1148" i="4"/>
  <c r="Q1150" i="4"/>
  <c r="Q1152" i="4"/>
  <c r="Q1156" i="4"/>
  <c r="Q1158" i="4"/>
  <c r="Q1160" i="4"/>
  <c r="Q1176" i="4"/>
  <c r="Q1198" i="4"/>
  <c r="Q1200" i="4"/>
  <c r="Q1202" i="4"/>
  <c r="U1301" i="4"/>
  <c r="Q1301" i="4" s="1"/>
  <c r="Q1035" i="4"/>
  <c r="Q1170" i="4"/>
  <c r="Q1191" i="4"/>
  <c r="Q1264" i="4"/>
  <c r="Q1270" i="4"/>
  <c r="Q1274" i="4"/>
  <c r="Q1281" i="4"/>
  <c r="Q1285" i="4"/>
  <c r="Q1291" i="4"/>
  <c r="Q1295" i="4"/>
  <c r="Q1303" i="4"/>
  <c r="Q1023" i="4"/>
  <c r="Q1039" i="4"/>
  <c r="Q1059" i="4"/>
  <c r="Q1067" i="4"/>
  <c r="Q1075" i="4"/>
  <c r="Q1092" i="4"/>
  <c r="Q1118" i="4"/>
  <c r="Q1120" i="4"/>
  <c r="Q1122" i="4"/>
  <c r="W1124" i="4"/>
  <c r="W1134" i="4"/>
  <c r="W1144" i="4"/>
  <c r="W1154" i="4"/>
  <c r="Q1169" i="4"/>
  <c r="Q1171" i="4"/>
  <c r="Q1190" i="4"/>
  <c r="Q1192" i="4"/>
  <c r="Q1263" i="4"/>
  <c r="Q1267" i="4"/>
  <c r="U1269" i="4"/>
  <c r="Q1273" i="4"/>
  <c r="U1280" i="4"/>
  <c r="U1290" i="4"/>
  <c r="U161" i="4"/>
  <c r="Q163" i="4"/>
  <c r="Q131" i="4"/>
  <c r="U126" i="4"/>
  <c r="U176" i="4"/>
  <c r="Q177" i="4"/>
  <c r="U149" i="4"/>
  <c r="Q150" i="4"/>
  <c r="U181" i="4"/>
  <c r="Q182" i="4"/>
  <c r="U197" i="4"/>
  <c r="Q198" i="4"/>
  <c r="Q229" i="4"/>
  <c r="Q231" i="4"/>
  <c r="Q233" i="4"/>
  <c r="Q235" i="4"/>
  <c r="U237" i="4"/>
  <c r="Q248" i="4"/>
  <c r="Q250" i="4"/>
  <c r="Q252" i="4"/>
  <c r="Q254" i="4"/>
  <c r="Q269" i="4"/>
  <c r="Q271" i="4"/>
  <c r="Q273" i="4"/>
  <c r="Q275" i="4"/>
  <c r="U279" i="4"/>
  <c r="U217" i="4"/>
  <c r="Q218" i="4"/>
  <c r="U207" i="4"/>
  <c r="Q208" i="4"/>
  <c r="Q239" i="4"/>
  <c r="Q241" i="4"/>
  <c r="Q243" i="4"/>
  <c r="Q245" i="4"/>
  <c r="U247" i="4"/>
  <c r="Q258" i="4"/>
  <c r="Q260" i="4"/>
  <c r="Q262" i="4"/>
  <c r="Q264" i="4"/>
  <c r="Q281" i="4"/>
  <c r="Q283" i="4"/>
  <c r="Q285" i="4"/>
  <c r="Q287" i="4"/>
  <c r="W559" i="4"/>
  <c r="U560" i="4"/>
  <c r="U559" i="4" s="1"/>
  <c r="Q1116" i="4"/>
  <c r="R1114" i="4"/>
  <c r="Q1312" i="4"/>
  <c r="R136" i="4"/>
  <c r="R155" i="4"/>
  <c r="R168" i="4"/>
  <c r="W181" i="4"/>
  <c r="W197" i="4"/>
  <c r="W207" i="4"/>
  <c r="W217" i="4"/>
  <c r="W227" i="4"/>
  <c r="W237" i="4"/>
  <c r="W247" i="4"/>
  <c r="W257" i="4"/>
  <c r="W267" i="4"/>
  <c r="W279" i="4"/>
  <c r="R507" i="4"/>
  <c r="R519" i="4"/>
  <c r="W519" i="4"/>
  <c r="U529" i="4"/>
  <c r="R539" i="4"/>
  <c r="W539" i="4"/>
  <c r="U549" i="4"/>
  <c r="R569" i="4"/>
  <c r="U677" i="4"/>
  <c r="W668" i="4"/>
  <c r="W722" i="4"/>
  <c r="U136" i="4"/>
  <c r="U407" i="4"/>
  <c r="U417" i="4"/>
  <c r="R579" i="4"/>
  <c r="R589" i="4"/>
  <c r="R599" i="4"/>
  <c r="U713" i="4"/>
  <c r="W704" i="4"/>
  <c r="U1097" i="4"/>
  <c r="U1094" i="4" s="1"/>
  <c r="W1094" i="4"/>
  <c r="W1225" i="4"/>
  <c r="U1226" i="4"/>
  <c r="U1225" i="4" s="1"/>
  <c r="R126" i="4"/>
  <c r="Q290" i="4"/>
  <c r="Q554" i="4"/>
  <c r="Q556" i="4"/>
  <c r="Q571" i="4"/>
  <c r="Q573" i="4"/>
  <c r="Q575" i="4"/>
  <c r="Q577" i="4"/>
  <c r="Q581" i="4"/>
  <c r="Q583" i="4"/>
  <c r="Q585" i="4"/>
  <c r="Q587" i="4"/>
  <c r="Q591" i="4"/>
  <c r="Q593" i="4"/>
  <c r="Q595" i="4"/>
  <c r="Q597" i="4"/>
  <c r="Q601" i="4"/>
  <c r="Q603" i="4"/>
  <c r="Q605" i="4"/>
  <c r="Q607" i="4"/>
  <c r="U641" i="4"/>
  <c r="W632" i="4"/>
  <c r="W686" i="4"/>
  <c r="R114" i="4"/>
  <c r="W126" i="4"/>
  <c r="U519" i="4"/>
  <c r="R529" i="4"/>
  <c r="W529" i="4"/>
  <c r="U539" i="4"/>
  <c r="R549" i="4"/>
  <c r="W549" i="4"/>
  <c r="Q562" i="4"/>
  <c r="Q564" i="4"/>
  <c r="Q566" i="4"/>
  <c r="U749" i="4"/>
  <c r="W740" i="4"/>
  <c r="U570" i="4"/>
  <c r="U569" i="4" s="1"/>
  <c r="U580" i="4"/>
  <c r="U579" i="4" s="1"/>
  <c r="U590" i="4"/>
  <c r="U589" i="4" s="1"/>
  <c r="U600" i="4"/>
  <c r="U599" i="4" s="1"/>
  <c r="U812" i="4"/>
  <c r="Q821" i="4"/>
  <c r="U614" i="4"/>
  <c r="U650" i="4"/>
  <c r="U686" i="4"/>
  <c r="U722" i="4"/>
  <c r="U776" i="4"/>
  <c r="U794" i="4"/>
  <c r="Q1022" i="4"/>
  <c r="R1010" i="4"/>
  <c r="U1055" i="4"/>
  <c r="W1046" i="4"/>
  <c r="U1085" i="4"/>
  <c r="W1084" i="4"/>
  <c r="U830" i="4"/>
  <c r="R1028" i="4"/>
  <c r="W1028" i="4"/>
  <c r="R1084" i="4"/>
  <c r="R1094" i="4"/>
  <c r="U1019" i="4"/>
  <c r="W1010" i="4"/>
  <c r="Q1058" i="4"/>
  <c r="R1046" i="4"/>
  <c r="R1195" i="4"/>
  <c r="U1028" i="4"/>
  <c r="U1064" i="4"/>
  <c r="R1104" i="4"/>
  <c r="W1104" i="4"/>
  <c r="U1105" i="4"/>
  <c r="U1104" i="4" s="1"/>
  <c r="Q1117" i="4"/>
  <c r="Q1119" i="4"/>
  <c r="Q1121" i="4"/>
  <c r="U1166" i="4"/>
  <c r="Q1166" i="4" s="1"/>
  <c r="W1164" i="4"/>
  <c r="U1187" i="4"/>
  <c r="Q1187" i="4" s="1"/>
  <c r="W1185" i="4"/>
  <c r="Q1106" i="4"/>
  <c r="Q1108" i="4"/>
  <c r="Q1110" i="4"/>
  <c r="Q1112" i="4"/>
  <c r="W1114" i="4"/>
  <c r="U1115" i="4"/>
  <c r="U1114" i="4" s="1"/>
  <c r="Q1127" i="4"/>
  <c r="Q1129" i="4"/>
  <c r="Q1131" i="4"/>
  <c r="R1134" i="4"/>
  <c r="Q1137" i="4"/>
  <c r="Q1139" i="4"/>
  <c r="Q1141" i="4"/>
  <c r="R1144" i="4"/>
  <c r="Q1147" i="4"/>
  <c r="Q1149" i="4"/>
  <c r="Q1151" i="4"/>
  <c r="R1154" i="4"/>
  <c r="Q1157" i="4"/>
  <c r="Q1159" i="4"/>
  <c r="Q1165" i="4"/>
  <c r="R1164" i="4"/>
  <c r="Q1186" i="4"/>
  <c r="R1185" i="4"/>
  <c r="U1125" i="4"/>
  <c r="U1124" i="4" s="1"/>
  <c r="U1135" i="4"/>
  <c r="U1134" i="4" s="1"/>
  <c r="U1145" i="4"/>
  <c r="U1144" i="4" s="1"/>
  <c r="U1155" i="4"/>
  <c r="U1154" i="4" s="1"/>
  <c r="R1175" i="4"/>
  <c r="W1175" i="4"/>
  <c r="W1195" i="4"/>
  <c r="U1196" i="4"/>
  <c r="U1195" i="4" s="1"/>
  <c r="Q1208" i="4"/>
  <c r="Q1210" i="4"/>
  <c r="Q1212" i="4"/>
  <c r="Q1227" i="4"/>
  <c r="Q1229" i="4"/>
  <c r="Q1231" i="4"/>
  <c r="Q1233" i="4"/>
  <c r="Q1306" i="4"/>
  <c r="W1205" i="4"/>
  <c r="U1206" i="4"/>
  <c r="U1205" i="4" s="1"/>
  <c r="U1313" i="4"/>
  <c r="Q1313" i="4" s="1"/>
  <c r="W1310" i="4"/>
  <c r="U1175" i="4"/>
  <c r="Q1207" i="4"/>
  <c r="Q1209" i="4"/>
  <c r="Q1211" i="4"/>
  <c r="Q1213" i="4"/>
  <c r="R1215" i="4"/>
  <c r="W1215" i="4"/>
  <c r="U1216" i="4"/>
  <c r="U1215" i="4" s="1"/>
  <c r="Q1228" i="4"/>
  <c r="Q1230" i="4"/>
  <c r="Q1232" i="4"/>
  <c r="Q1308" i="4"/>
  <c r="U289" i="4" l="1"/>
  <c r="Q115" i="4"/>
  <c r="Q114" i="4" s="1"/>
  <c r="U1259" i="4"/>
  <c r="Q1257" i="4"/>
  <c r="Q1235" i="4" s="1"/>
  <c r="Q192" i="4"/>
  <c r="Q191" i="4" s="1"/>
  <c r="Q161" i="4"/>
  <c r="Q207" i="4"/>
  <c r="Q407" i="4"/>
  <c r="Q448" i="4"/>
  <c r="Q447" i="4" s="1"/>
  <c r="Q884" i="4"/>
  <c r="Q507" i="4"/>
  <c r="Q345" i="4"/>
  <c r="Q365" i="4"/>
  <c r="Q1175" i="4"/>
  <c r="Q560" i="4"/>
  <c r="Q559" i="4" s="1"/>
  <c r="Q519" i="4"/>
  <c r="Q325" i="4"/>
  <c r="Q355" i="4"/>
  <c r="U1164" i="4"/>
  <c r="Q812" i="4"/>
  <c r="Q920" i="4"/>
  <c r="Q181" i="4"/>
  <c r="U1185" i="4"/>
  <c r="Q1064" i="4"/>
  <c r="Q956" i="4"/>
  <c r="Q848" i="4"/>
  <c r="Q830" i="4"/>
  <c r="Q722" i="4"/>
  <c r="Q686" i="4"/>
  <c r="Q437" i="4"/>
  <c r="Q417" i="4"/>
  <c r="Q385" i="4"/>
  <c r="Q305" i="4"/>
  <c r="Q289" i="4"/>
  <c r="Q650" i="4"/>
  <c r="Q468" i="4"/>
  <c r="Q467" i="4" s="1"/>
  <c r="Q487" i="4"/>
  <c r="Q457" i="4"/>
  <c r="Q315" i="4"/>
  <c r="Q902" i="4"/>
  <c r="Q974" i="4"/>
  <c r="Q1115" i="4"/>
  <c r="Q1114" i="4" s="1"/>
  <c r="Q866" i="4"/>
  <c r="Q992" i="4"/>
  <c r="Q758" i="4"/>
  <c r="Q529" i="4"/>
  <c r="Q237" i="4"/>
  <c r="Q197" i="4"/>
  <c r="Q149" i="4"/>
  <c r="Q176" i="4"/>
  <c r="Q539" i="4"/>
  <c r="Q156" i="4"/>
  <c r="Q155" i="4" s="1"/>
  <c r="Q1280" i="4"/>
  <c r="Q1145" i="4"/>
  <c r="Q1144" i="4" s="1"/>
  <c r="Q1135" i="4"/>
  <c r="Q1134" i="4" s="1"/>
  <c r="Q1125" i="4"/>
  <c r="Q1124" i="4" s="1"/>
  <c r="Q1028" i="4"/>
  <c r="Q794" i="4"/>
  <c r="Q614" i="4"/>
  <c r="Q136" i="4"/>
  <c r="Q126" i="4"/>
  <c r="Q549" i="4"/>
  <c r="Q600" i="4"/>
  <c r="Q599" i="4" s="1"/>
  <c r="Q217" i="4"/>
  <c r="Q267" i="4"/>
  <c r="Q227" i="4"/>
  <c r="Q776" i="4"/>
  <c r="Q376" i="4"/>
  <c r="Q375" i="4" s="1"/>
  <c r="U375" i="4"/>
  <c r="Q296" i="4"/>
  <c r="Q295" i="4" s="1"/>
  <c r="U295" i="4"/>
  <c r="Q169" i="4"/>
  <c r="Q168" i="4" s="1"/>
  <c r="U168" i="4"/>
  <c r="Q1164" i="4"/>
  <c r="Q279" i="4"/>
  <c r="Q257" i="4"/>
  <c r="Q1259" i="4"/>
  <c r="U1300" i="4"/>
  <c r="Q477" i="4"/>
  <c r="Q336" i="4"/>
  <c r="Q335" i="4" s="1"/>
  <c r="U335" i="4"/>
  <c r="Q1300" i="4"/>
  <c r="Q1206" i="4"/>
  <c r="Q1205" i="4" s="1"/>
  <c r="Q1185" i="4"/>
  <c r="Q580" i="4"/>
  <c r="Q579" i="4" s="1"/>
  <c r="Q1290" i="4"/>
  <c r="Q1269" i="4"/>
  <c r="Q938" i="4"/>
  <c r="Q428" i="4"/>
  <c r="Q427" i="4" s="1"/>
  <c r="Q498" i="4"/>
  <c r="Q497" i="4" s="1"/>
  <c r="Q396" i="4"/>
  <c r="Q395" i="4" s="1"/>
  <c r="U395" i="4"/>
  <c r="Q143" i="4"/>
  <c r="Q1105" i="4"/>
  <c r="Q1104" i="4" s="1"/>
  <c r="Q247" i="4"/>
  <c r="Q1216" i="4"/>
  <c r="Q1215" i="4" s="1"/>
  <c r="Q1097" i="4"/>
  <c r="Q1094" i="4" s="1"/>
  <c r="U1010" i="4"/>
  <c r="Q1019" i="4"/>
  <c r="Q1010" i="4" s="1"/>
  <c r="U1084" i="4"/>
  <c r="Q1085" i="4"/>
  <c r="Q1084" i="4" s="1"/>
  <c r="U740" i="4"/>
  <c r="Q749" i="4"/>
  <c r="Q740" i="4" s="1"/>
  <c r="U632" i="4"/>
  <c r="Q641" i="4"/>
  <c r="Q632" i="4" s="1"/>
  <c r="U704" i="4"/>
  <c r="Q713" i="4"/>
  <c r="Q704" i="4" s="1"/>
  <c r="Q590" i="4"/>
  <c r="Q589" i="4" s="1"/>
  <c r="U1046" i="4"/>
  <c r="Q1055" i="4"/>
  <c r="Q1046" i="4" s="1"/>
  <c r="Q570" i="4"/>
  <c r="Q569" i="4" s="1"/>
  <c r="Q1226" i="4"/>
  <c r="Q1225" i="4" s="1"/>
  <c r="Q1155" i="4"/>
  <c r="Q1154" i="4" s="1"/>
  <c r="Q1196" i="4"/>
  <c r="Q1195" i="4" s="1"/>
  <c r="U668" i="4"/>
  <c r="Q677" i="4"/>
  <c r="Q668" i="4" s="1"/>
  <c r="U1310" i="4"/>
  <c r="Q1310" i="4" s="1"/>
</calcChain>
</file>

<file path=xl/comments1.xml><?xml version="1.0" encoding="utf-8"?>
<comments xmlns="http://schemas.openxmlformats.org/spreadsheetml/2006/main">
  <authors>
    <author>Дидык Илья Сергеевич</author>
  </authors>
  <commentList>
    <comment ref="F143" authorId="0" shapeId="0">
      <text>
        <r>
          <rPr>
            <b/>
            <sz val="9"/>
            <color indexed="81"/>
            <rFont val="Tahoma"/>
            <family val="2"/>
            <charset val="204"/>
          </rPr>
          <t>Дидык Илья Сергеевич:</t>
        </r>
        <r>
          <rPr>
            <sz val="9"/>
            <color indexed="81"/>
            <rFont val="Tahoma"/>
            <family val="2"/>
            <charset val="204"/>
          </rPr>
          <t xml:space="preserve">
</t>
        </r>
        <r>
          <rPr>
            <sz val="14"/>
            <color indexed="81"/>
            <rFont val="Tahoma"/>
            <family val="2"/>
            <charset val="204"/>
          </rPr>
          <t>Это разные объекты хоть и совместный подвес? YA</t>
        </r>
      </text>
    </comment>
    <comment ref="F191" authorId="0" shapeId="0">
      <text>
        <r>
          <rPr>
            <b/>
            <sz val="9"/>
            <color indexed="81"/>
            <rFont val="Tahoma"/>
            <family val="2"/>
            <charset val="204"/>
          </rPr>
          <t>Дидык Илья Сергеевич:</t>
        </r>
        <r>
          <rPr>
            <sz val="9"/>
            <color indexed="81"/>
            <rFont val="Tahoma"/>
            <family val="2"/>
            <charset val="204"/>
          </rPr>
          <t xml:space="preserve">
</t>
        </r>
        <r>
          <rPr>
            <sz val="14"/>
            <color indexed="81"/>
            <rFont val="Tahoma"/>
            <family val="2"/>
            <charset val="204"/>
          </rPr>
          <t>Это разные объекты хоть и совместный подвес? YA</t>
        </r>
      </text>
    </comment>
  </commentList>
</comments>
</file>

<file path=xl/sharedStrings.xml><?xml version="1.0" encoding="utf-8"?>
<sst xmlns="http://schemas.openxmlformats.org/spreadsheetml/2006/main" count="17938" uniqueCount="3851">
  <si>
    <t>УТВЕРЖДАЮ</t>
  </si>
  <si>
    <t xml:space="preserve">        Заместитель генерального директора</t>
  </si>
  <si>
    <t>по техническим вопросам -</t>
  </si>
  <si>
    <t>главный инженер АО "ДРСК"</t>
  </si>
  <si>
    <t>_______________   А.В. Михалёв</t>
  </si>
  <si>
    <t>"______" _______________ 20     г.</t>
  </si>
  <si>
    <t>(тыс. руб. без НДС)</t>
  </si>
  <si>
    <t>№ п/п</t>
  </si>
  <si>
    <t>Класс напр-я (кВ)</t>
  </si>
  <si>
    <t>РЭС</t>
  </si>
  <si>
    <t>СП</t>
  </si>
  <si>
    <t>Инв. номер</t>
  </si>
  <si>
    <t>Наименование объекта</t>
  </si>
  <si>
    <t>Причины включения объекта в ГПР</t>
  </si>
  <si>
    <t>Вид ремонта (К;С;Т.)</t>
  </si>
  <si>
    <t xml:space="preserve">Срок ремонта </t>
  </si>
  <si>
    <t>Перечень работ</t>
  </si>
  <si>
    <t>Ед. изм.</t>
  </si>
  <si>
    <t>Кол-во</t>
  </si>
  <si>
    <t>Прот-ть рем. уч-ка,                (усл. км.)</t>
  </si>
  <si>
    <t>Исп-ль ремонта (хоз. сп./ подряд)</t>
  </si>
  <si>
    <t>Подрядный способ</t>
  </si>
  <si>
    <t>Хоз. способ</t>
  </si>
  <si>
    <t>Нач.</t>
  </si>
  <si>
    <t>Окон-е</t>
  </si>
  <si>
    <t>Всего</t>
  </si>
  <si>
    <t>В том числе</t>
  </si>
  <si>
    <t>Обосн-е</t>
  </si>
  <si>
    <t>Поясн-я</t>
  </si>
  <si>
    <t>месяц</t>
  </si>
  <si>
    <t>Ст-ть работ</t>
  </si>
  <si>
    <t>МТР</t>
  </si>
  <si>
    <t>ФОТ</t>
  </si>
  <si>
    <t>ЕСН</t>
  </si>
  <si>
    <t>Прочие</t>
  </si>
  <si>
    <t>Всего ремонт</t>
  </si>
  <si>
    <t>Передаточные устройства</t>
  </si>
  <si>
    <t>шт.</t>
  </si>
  <si>
    <t>хоз. сп.</t>
  </si>
  <si>
    <t>Замена опор</t>
  </si>
  <si>
    <t>Монтаж провода (по трассе)</t>
  </si>
  <si>
    <t>Установка РЛНД</t>
  </si>
  <si>
    <t>Замена ответвлений к зданиям</t>
  </si>
  <si>
    <t>км.</t>
  </si>
  <si>
    <t>Га.</t>
  </si>
  <si>
    <t>хоз. сп./ подряд</t>
  </si>
  <si>
    <t>подряд</t>
  </si>
  <si>
    <t>НРЭС</t>
  </si>
  <si>
    <t>К</t>
  </si>
  <si>
    <t>АРЭС</t>
  </si>
  <si>
    <t>ТРЭС</t>
  </si>
  <si>
    <t>110 кВ</t>
  </si>
  <si>
    <t>35 кВ</t>
  </si>
  <si>
    <t>0,4 кВ</t>
  </si>
  <si>
    <t>6-10 кВ</t>
  </si>
  <si>
    <t>ТРЭС ВЭС</t>
  </si>
  <si>
    <t>Транспортные средства</t>
  </si>
  <si>
    <t xml:space="preserve">Оборудование подстанций </t>
  </si>
  <si>
    <t>всего</t>
  </si>
  <si>
    <t>кап.</t>
  </si>
  <si>
    <t>сред.</t>
  </si>
  <si>
    <t>тек.</t>
  </si>
  <si>
    <t>Трансформаторные подстанции</t>
  </si>
  <si>
    <t>ЗиС</t>
  </si>
  <si>
    <t>АИИС КУЭ</t>
  </si>
  <si>
    <t>Аварийный резерв</t>
  </si>
  <si>
    <t>Оборудование подстанций</t>
  </si>
  <si>
    <t>Прочие (СДТУ)</t>
  </si>
  <si>
    <t>Здания и сооружения</t>
  </si>
  <si>
    <t>расчистка</t>
  </si>
  <si>
    <t>1.3.</t>
  </si>
  <si>
    <t>1.2.</t>
  </si>
  <si>
    <t>Автотранспорт</t>
  </si>
  <si>
    <t>ВЛ 110 кВ</t>
  </si>
  <si>
    <t>ВЛ 35 кВ</t>
  </si>
  <si>
    <t>ВЛ 6-10 кВ</t>
  </si>
  <si>
    <t>ВЛ 0,4 кВ</t>
  </si>
  <si>
    <t>М.Н. Голота</t>
  </si>
  <si>
    <t>А.В. Михайлов</t>
  </si>
  <si>
    <t>А.П. Вахрин</t>
  </si>
  <si>
    <t>Замена изоляторов фарфоровых/стеклянных на полимерные</t>
  </si>
  <si>
    <t>Восстановление обрешетки металлических опор</t>
  </si>
  <si>
    <t>Бурение скважин и установка  деревянных приставок</t>
  </si>
  <si>
    <t>Бурение скважин и установка ж/б приставок</t>
  </si>
  <si>
    <t>март</t>
  </si>
  <si>
    <t>сентябрь</t>
  </si>
  <si>
    <t>октябрь</t>
  </si>
  <si>
    <t>май</t>
  </si>
  <si>
    <t>июнь</t>
  </si>
  <si>
    <t>июль</t>
  </si>
  <si>
    <t>август</t>
  </si>
  <si>
    <t>НЕРЭС ВЭС</t>
  </si>
  <si>
    <t>АРВЭС</t>
  </si>
  <si>
    <t>апрель</t>
  </si>
  <si>
    <t>Расчистка просеки</t>
  </si>
  <si>
    <t>га.</t>
  </si>
  <si>
    <t>Монтаж контура заземления</t>
  </si>
  <si>
    <t>Просека всего по РЭСам</t>
  </si>
  <si>
    <t>ВЛ-35 кВ всего</t>
  </si>
  <si>
    <t>ВЛ-110 кВ всего просека</t>
  </si>
  <si>
    <t>НЕРЭС РС</t>
  </si>
  <si>
    <t>ТРЭС РС</t>
  </si>
  <si>
    <t>Установка, замена РЛНД</t>
  </si>
  <si>
    <t>Установка укоса</t>
  </si>
  <si>
    <t>Механизированная расчистка просеки</t>
  </si>
  <si>
    <t>мульчер</t>
  </si>
  <si>
    <t xml:space="preserve">расчистка </t>
  </si>
  <si>
    <t>Мульчер всего по РЭСам</t>
  </si>
  <si>
    <t>Просека + Мульчер</t>
  </si>
  <si>
    <t>Бурение скважин и установка ж/бприставок</t>
  </si>
  <si>
    <t>ГСМ* (справочно)</t>
  </si>
  <si>
    <t>Монтаж грозотроса (Установка заземлителей)</t>
  </si>
  <si>
    <t>Демонтаж опор</t>
  </si>
  <si>
    <t>Монтаж опор</t>
  </si>
  <si>
    <t>Ручная расчистка просеки</t>
  </si>
  <si>
    <t>Ремонт фундаментов</t>
  </si>
  <si>
    <t>Расширение просеки механизировано</t>
  </si>
  <si>
    <t>га</t>
  </si>
  <si>
    <t>Монтаж траверсы</t>
  </si>
  <si>
    <t>Замена опорно-стержневых изоляторов разъединителей 110 кВ</t>
  </si>
  <si>
    <t>Замена камеры КСО</t>
  </si>
  <si>
    <t>Замена камеры ЩО</t>
  </si>
  <si>
    <t xml:space="preserve">Демонтаж опор </t>
  </si>
  <si>
    <t>Установка опор</t>
  </si>
  <si>
    <t>Восстановление контура заземления до нормативных характеристик</t>
  </si>
  <si>
    <t>Расширение мульчер</t>
  </si>
  <si>
    <t>Демонтаж провода (по трассе)</t>
  </si>
  <si>
    <t>Всего ремонтных затрат на    2019 г.</t>
  </si>
  <si>
    <t>январь</t>
  </si>
  <si>
    <t>декабрь</t>
  </si>
  <si>
    <t>хоз.сп.</t>
  </si>
  <si>
    <t xml:space="preserve">АРЭС </t>
  </si>
  <si>
    <t xml:space="preserve">Расширение просеки механизировано </t>
  </si>
  <si>
    <t>февраль</t>
  </si>
  <si>
    <t>установка опн-6</t>
  </si>
  <si>
    <t xml:space="preserve">установка опор </t>
  </si>
  <si>
    <t xml:space="preserve"> Восстановление контура заземления до нормативных характеристик</t>
  </si>
  <si>
    <t>ВЛ-0,4 кВ всего</t>
  </si>
  <si>
    <t>ВЛ-6-10 кВ всего</t>
  </si>
  <si>
    <t xml:space="preserve">расширение </t>
  </si>
  <si>
    <t>расширение вручную</t>
  </si>
  <si>
    <t>расширение х-сп  вручную</t>
  </si>
  <si>
    <t xml:space="preserve">Годовая программа ремонтов основных фондов филиала АО "ДРСК" _____ЮЯЭС_______ на 2020 г.                                                                                                                                                                      </t>
  </si>
  <si>
    <t>Капитальный ремонт ВЛ 110 кВ</t>
  </si>
  <si>
    <t>Капитальный ремонт ПС</t>
  </si>
  <si>
    <t>Капитальный ремонт ВЛ 6-10 кВ</t>
  </si>
  <si>
    <t>Капитальный ремонт ТП</t>
  </si>
  <si>
    <t>Капитальный ремонт КЛ 110 кВ</t>
  </si>
  <si>
    <t>Средний ремонт ПС</t>
  </si>
  <si>
    <t>Капитальный ремонт КЛ 6-10 кВ</t>
  </si>
  <si>
    <t>Текущий ремонт ТП</t>
  </si>
  <si>
    <t>Капитальный ремонт ВЛ 35 кВ</t>
  </si>
  <si>
    <t>Текущий ремонт ПС</t>
  </si>
  <si>
    <t>Капитальный ремонт ВЛ 0,4 кВ</t>
  </si>
  <si>
    <t>Замена КТП</t>
  </si>
  <si>
    <t>Капитальный ремонт КЛ 35 кВ</t>
  </si>
  <si>
    <t>Ремонт трансформаторов 110 кВ</t>
  </si>
  <si>
    <t>Капитальный ремонт КЛ 0,4 кВ</t>
  </si>
  <si>
    <t>Ремонт ТМ</t>
  </si>
  <si>
    <t>Механизированная расчистка</t>
  </si>
  <si>
    <t>Ремонт трансформаторов 35 кВ</t>
  </si>
  <si>
    <t>Замена ТМ</t>
  </si>
  <si>
    <t>Ручная расчистка</t>
  </si>
  <si>
    <t>Ремонт трансформаторов СН</t>
  </si>
  <si>
    <t>Ремонт строительной части ТП, КТП</t>
  </si>
  <si>
    <t>Расширение просек</t>
  </si>
  <si>
    <t>Ремонт реакторов 110 кВ</t>
  </si>
  <si>
    <t>Выправка опор</t>
  </si>
  <si>
    <t>Замена ячеек ТП, панелей ЩО и т.д.</t>
  </si>
  <si>
    <t>Вырубка угрожающих деревьев</t>
  </si>
  <si>
    <t>Ремонт реакторов 35 кВ</t>
  </si>
  <si>
    <t>Ремонт РУ10-0,4 кВ</t>
  </si>
  <si>
    <t>Замена поврежденных изоляторов</t>
  </si>
  <si>
    <t>Замена вводов 110 кВ</t>
  </si>
  <si>
    <t>Обваловка опор</t>
  </si>
  <si>
    <t>Замена фарфоровых изоляторов на стеклянные</t>
  </si>
  <si>
    <t>Замена вводов 35 кВ</t>
  </si>
  <si>
    <t>Замена траверс</t>
  </si>
  <si>
    <t>Монтаж резервной кабельной перемычки</t>
  </si>
  <si>
    <t>Замена фарфоровых /стеклянных/ изоляторов на полимерные</t>
  </si>
  <si>
    <t>Капитальный ремонт вводов 110 кВ</t>
  </si>
  <si>
    <t>Замена изоляторов</t>
  </si>
  <si>
    <t>Ремонт /усиление/ фундаментов</t>
  </si>
  <si>
    <t>Капитальный ремонт вводов 35 кВ</t>
  </si>
  <si>
    <t>Замена разрядников</t>
  </si>
  <si>
    <t>Монтаж грозотроса</t>
  </si>
  <si>
    <t>Ремонт выключателей 110 кВ</t>
  </si>
  <si>
    <t>Замена РЛНД</t>
  </si>
  <si>
    <t>Демонтаж грозотроса</t>
  </si>
  <si>
    <t>Ремонт выключателей 35 кВ</t>
  </si>
  <si>
    <t>Ремонт РЛНД</t>
  </si>
  <si>
    <t>Ремонт выключателей 6-10 кВ</t>
  </si>
  <si>
    <t>Замена выключателей 110 кВ</t>
  </si>
  <si>
    <t>Монтаж кабеля</t>
  </si>
  <si>
    <t>Замена выключателей 35 кВ</t>
  </si>
  <si>
    <t>Демонтаж кабеля</t>
  </si>
  <si>
    <t>Замена выключателей 6-10 кВ</t>
  </si>
  <si>
    <t>Перетяжка провода</t>
  </si>
  <si>
    <t>Монтаж муфт</t>
  </si>
  <si>
    <t xml:space="preserve">Ремонт разъединителей 110 кВ </t>
  </si>
  <si>
    <t>Демонтаж муфт</t>
  </si>
  <si>
    <t>Ремонт разъединителей 35 кВ</t>
  </si>
  <si>
    <t>Бурение скважин</t>
  </si>
  <si>
    <t>Сборка опор</t>
  </si>
  <si>
    <t>Замена опорно-стержневых изоляторов разъединителей 35 кВ</t>
  </si>
  <si>
    <t>Установка приставок</t>
  </si>
  <si>
    <t>Капитальный ремон аккумуляторных батарей</t>
  </si>
  <si>
    <t>Демонтаж ответвлений к зданиям</t>
  </si>
  <si>
    <t>Ремонт трансформаторов тока 110 кВ</t>
  </si>
  <si>
    <t>Монтаж ответвлений к зданиям</t>
  </si>
  <si>
    <t>Ремонт трансформаторов тока 35 кВ</t>
  </si>
  <si>
    <t>Устройство насыпи банкетки</t>
  </si>
  <si>
    <t>Замена трансформаторов тока 110 кВ</t>
  </si>
  <si>
    <t>Восстановление обрешетки опоры</t>
  </si>
  <si>
    <t>Замена трансформаторов тока 35 кВ</t>
  </si>
  <si>
    <t>Обрезка крон деревьев</t>
  </si>
  <si>
    <t xml:space="preserve">Замена элементов опоры </t>
  </si>
  <si>
    <t>Ремонт трансформаторов напряжения 110 кВ</t>
  </si>
  <si>
    <t>Замена приставки</t>
  </si>
  <si>
    <t xml:space="preserve">Рытьё ям вручную </t>
  </si>
  <si>
    <t>Ремонт трансформаторов напряжения 35 кВ</t>
  </si>
  <si>
    <t>Установка приставки</t>
  </si>
  <si>
    <t>Замена трансформаторов напряжения 110 кВ</t>
  </si>
  <si>
    <t>Замена трансформаторов напряжения 35 кВ</t>
  </si>
  <si>
    <t>Замена трансформаторов напряжения 6-10 кВ.</t>
  </si>
  <si>
    <t>Капитальный ремонт разрядников 110 кВ</t>
  </si>
  <si>
    <t>Копка ям механическим способом</t>
  </si>
  <si>
    <t>Капитальный ремонт разрядников 35 кВ</t>
  </si>
  <si>
    <t>Устройство заземлений</t>
  </si>
  <si>
    <t>Капитальный ремонт разрядников 6-10 кВ</t>
  </si>
  <si>
    <t>Замена ОПН, разрядников 110 кВ</t>
  </si>
  <si>
    <t>Замена ОПН, разрядников 35 кВ</t>
  </si>
  <si>
    <t>Замена ОПН, разрядников 6-10 кВ</t>
  </si>
  <si>
    <t>Ремонт секции шин 6-10 кВ.</t>
  </si>
  <si>
    <t>Ремонт трансформаторов напряжения 6-10 кВ</t>
  </si>
  <si>
    <t>Ремонт  канала ВЧ связи</t>
  </si>
  <si>
    <t>ноябрь</t>
  </si>
  <si>
    <t>110 кВ.</t>
  </si>
  <si>
    <t>уВС</t>
  </si>
  <si>
    <t>Расширение просеки  12 - 83.</t>
  </si>
  <si>
    <t>Механизированная расчистка просеки 25 - 65.</t>
  </si>
  <si>
    <t>Бурение скважин, установка приставок</t>
  </si>
  <si>
    <t xml:space="preserve"> 96 - 102.</t>
  </si>
  <si>
    <t>Просека</t>
  </si>
  <si>
    <t>Восстановление фундаментов опор (подряд) 4, 6, 7.</t>
  </si>
  <si>
    <t>111 кВ.</t>
  </si>
  <si>
    <t>Восстановление фундаментов опор</t>
  </si>
  <si>
    <t xml:space="preserve"> 96 - 103.</t>
  </si>
  <si>
    <t>12 - 83.</t>
  </si>
  <si>
    <t xml:space="preserve"> 25 - 65.</t>
  </si>
  <si>
    <t>23 - 27.</t>
  </si>
  <si>
    <t>35, 49, 50, 51, 52, 53, 55.</t>
  </si>
  <si>
    <t>56 - 61.</t>
  </si>
  <si>
    <t>22.</t>
  </si>
  <si>
    <t>60 - 64.</t>
  </si>
  <si>
    <t>22, 28.</t>
  </si>
  <si>
    <t>112 кВ.</t>
  </si>
  <si>
    <r>
      <t xml:space="preserve">установка ж/б приставок. 44, 45.
 деревянных свай  43, 43а.      
</t>
    </r>
    <r>
      <rPr>
        <b/>
        <sz val="8"/>
        <color rgb="FFFF0000"/>
        <rFont val="Times New Roman"/>
        <family val="1"/>
        <charset val="204"/>
      </rPr>
      <t>36а</t>
    </r>
    <r>
      <rPr>
        <sz val="8"/>
        <rFont val="Times New Roman"/>
        <family val="1"/>
        <charset val="204"/>
      </rPr>
      <t xml:space="preserve">            </t>
    </r>
  </si>
  <si>
    <r>
      <t>ВЛ 110 кВ Нерюнгринская</t>
    </r>
    <r>
      <rPr>
        <b/>
        <i/>
        <sz val="9"/>
        <color rgb="FFFF0000"/>
        <rFont val="Times New Roman"/>
        <family val="1"/>
        <charset val="204"/>
      </rPr>
      <t xml:space="preserve"> ГРЭС – СХК II цепь</t>
    </r>
    <r>
      <rPr>
        <b/>
        <i/>
        <sz val="9"/>
        <rFont val="Times New Roman"/>
        <family val="1"/>
        <charset val="204"/>
      </rPr>
      <t xml:space="preserve"> с отпайкой на ПС Серебряный Бор</t>
    </r>
  </si>
  <si>
    <r>
      <t xml:space="preserve">ВЛ 110 кВ Нерюнгринская </t>
    </r>
    <r>
      <rPr>
        <b/>
        <i/>
        <sz val="9"/>
        <color rgb="FFFF0000"/>
        <rFont val="Times New Roman"/>
        <family val="1"/>
        <charset val="204"/>
      </rPr>
      <t>ГРЭС – Фабрика II</t>
    </r>
    <r>
      <rPr>
        <b/>
        <i/>
        <sz val="9"/>
        <rFont val="Times New Roman"/>
        <family val="1"/>
        <charset val="204"/>
      </rPr>
      <t xml:space="preserve"> цепь с отпайками</t>
    </r>
  </si>
  <si>
    <r>
      <t xml:space="preserve">ВЛ 110 кВ Нерюнгринская </t>
    </r>
    <r>
      <rPr>
        <b/>
        <i/>
        <sz val="9"/>
        <color rgb="FFFF0000"/>
        <rFont val="Times New Roman"/>
        <family val="1"/>
        <charset val="204"/>
      </rPr>
      <t>ГРЭС – Фабрика I</t>
    </r>
    <r>
      <rPr>
        <b/>
        <i/>
        <sz val="9"/>
        <rFont val="Times New Roman"/>
        <family val="1"/>
        <charset val="204"/>
      </rPr>
      <t xml:space="preserve"> цепь с отпайками</t>
    </r>
  </si>
  <si>
    <r>
      <t xml:space="preserve">Совместный подвес ВЛ 110 кВ Нерюнгринская </t>
    </r>
    <r>
      <rPr>
        <b/>
        <i/>
        <sz val="9"/>
        <color rgb="FFFF0000"/>
        <rFont val="Times New Roman"/>
        <family val="1"/>
        <charset val="204"/>
      </rPr>
      <t>ГРЭС – Чульманская ТЭЦ I</t>
    </r>
    <r>
      <rPr>
        <b/>
        <i/>
        <sz val="9"/>
        <rFont val="Times New Roman"/>
        <family val="1"/>
        <charset val="204"/>
      </rPr>
      <t xml:space="preserve"> цепь с отпайками; ВЛ 110 кВ Нерюнгринская ГРЭС – Чульманская ТЭЦ  II цепь с отпайками</t>
    </r>
  </si>
  <si>
    <r>
      <t xml:space="preserve">ВЛ 110 кВ </t>
    </r>
    <r>
      <rPr>
        <b/>
        <i/>
        <sz val="9"/>
        <color rgb="FFFF0000"/>
        <rFont val="Times New Roman"/>
        <family val="1"/>
        <charset val="204"/>
      </rPr>
      <t>М</t>
    </r>
    <r>
      <rPr>
        <b/>
        <i/>
        <sz val="9"/>
        <rFont val="Times New Roman"/>
        <family val="1"/>
        <charset val="204"/>
      </rPr>
      <t>алый</t>
    </r>
    <r>
      <rPr>
        <b/>
        <i/>
        <sz val="9"/>
        <color rgb="FFFF0000"/>
        <rFont val="Times New Roman"/>
        <family val="1"/>
        <charset val="204"/>
      </rPr>
      <t xml:space="preserve"> Нимныр – Хатыми</t>
    </r>
  </si>
  <si>
    <r>
      <t xml:space="preserve">ВЛ 110 кВ Чульманская </t>
    </r>
    <r>
      <rPr>
        <b/>
        <i/>
        <sz val="9"/>
        <color rgb="FFFF0000"/>
        <rFont val="Times New Roman"/>
        <family val="1"/>
        <charset val="204"/>
      </rPr>
      <t>ТЭЦ – Хатыми</t>
    </r>
    <r>
      <rPr>
        <b/>
        <i/>
        <sz val="9"/>
        <rFont val="Times New Roman"/>
        <family val="1"/>
        <charset val="204"/>
      </rPr>
      <t xml:space="preserve"> с отпайками</t>
    </r>
  </si>
  <si>
    <r>
      <t xml:space="preserve">ВЛ 110 кВ Чульманская </t>
    </r>
    <r>
      <rPr>
        <b/>
        <i/>
        <sz val="9"/>
        <color rgb="FFFF0000"/>
        <rFont val="Times New Roman"/>
        <family val="1"/>
        <charset val="204"/>
      </rPr>
      <t xml:space="preserve">ТЭЦ </t>
    </r>
    <r>
      <rPr>
        <b/>
        <i/>
        <sz val="9"/>
        <rFont val="Times New Roman"/>
        <family val="1"/>
        <charset val="204"/>
      </rPr>
      <t>–</t>
    </r>
    <r>
      <rPr>
        <b/>
        <i/>
        <sz val="9"/>
        <color rgb="FFFF0000"/>
        <rFont val="Times New Roman"/>
        <family val="1"/>
        <charset val="204"/>
      </rPr>
      <t xml:space="preserve"> М</t>
    </r>
    <r>
      <rPr>
        <b/>
        <i/>
        <sz val="9"/>
        <rFont val="Times New Roman"/>
        <family val="1"/>
        <charset val="204"/>
      </rPr>
      <t xml:space="preserve">алый </t>
    </r>
    <r>
      <rPr>
        <b/>
        <i/>
        <sz val="9"/>
        <color rgb="FFFF0000"/>
        <rFont val="Times New Roman"/>
        <family val="1"/>
        <charset val="204"/>
      </rPr>
      <t>Нимныр</t>
    </r>
    <r>
      <rPr>
        <b/>
        <i/>
        <sz val="9"/>
        <rFont val="Times New Roman"/>
        <family val="1"/>
        <charset val="204"/>
      </rPr>
      <t xml:space="preserve"> с отпайками </t>
    </r>
  </si>
  <si>
    <r>
      <t>ВЛ 110 кВ Нерюнгринская</t>
    </r>
    <r>
      <rPr>
        <b/>
        <i/>
        <sz val="9"/>
        <color rgb="FFFF0000"/>
        <rFont val="Times New Roman"/>
        <family val="1"/>
        <charset val="204"/>
      </rPr>
      <t xml:space="preserve"> ГРЭС – СХК I цепь</t>
    </r>
    <r>
      <rPr>
        <b/>
        <i/>
        <sz val="9"/>
        <rFont val="Times New Roman"/>
        <family val="1"/>
        <charset val="204"/>
      </rPr>
      <t xml:space="preserve"> с отпайкой на ПС Серебряный Бор</t>
    </r>
  </si>
  <si>
    <t xml:space="preserve"> установка ж/б приставок 23, 24, 25, 26, 27, 28, 39, 40, 41, 42, 43, 44, 45, 46, 47, 309, 310, 311, 312, 313, 314, 315, 316, 321, 322, 324, 324а, 338а.
 установка деревянных свай.  59, 346, 447, 448, 449, 450, 451, 452, 453, 454, 455, 456, 457, 458, 459, 461, 462, 463, 464, 465, 466, 467.</t>
  </si>
  <si>
    <t>Замена П - обр. опор. 447, 448, 449, 450, 451, 452, 453, 454, 455, 456, 457, 458, 459, 461, 462, 463, 464, 465, 466, 467. 
(металл. траверсы ж/б приставки) 23, 24, 25, 26, 27, 28, 39, 40, 41, 42, 43, 44, 45, 46, 47, 309, 310, 311, 312, 313, 314, 315, 316, 321, 322, 324, 324а. 
Замена АП - обр. опор. (металл. траверсы) 59, 346.
Установка дополнительной П-образной опоры  (металл. траверсы ж/б приставки) опора 338а, в пролёте опор 338 - 339.</t>
  </si>
  <si>
    <t>установка ж/б приставок.  25, 26, 27, 28, 29, 238, 239, 242, 243, 320, 321, 336, 337, 337а, 338, 339, 340, 343.
установка деревянных свай. 58, 59, 344.
4 метра, установка деревяных приставок 291, 292, 293, 294, 295, 296, 297, 298, 299, 300, 301, 302.</t>
  </si>
  <si>
    <t>П - обр. опор.(металл.травесы, дер.приставки 6,5м ) 291, 292, 293, 294, 295, 296, 297, 298, 299, 300, 301, 302
П - обр. опор. (металл. траверсы ж/б приставки) 25, 26, 27, 28, 29, 238, 239, 242, 243, 320, 321, 336, 337, 338, 339, 340, 343.
АП - обр. опор.(металл. траверсы) 58, 59, 344.
Установка дополнительной П-образной опоры (металл. траверсы ж/б приставки) 337а в пролёте 337 - 338.</t>
  </si>
  <si>
    <r>
      <t>установка деревянных свай.  79, 77, 76, 75, 74, 73, 72, 71, 70, 69, 68, 67, 66, 65, 64,63, 62, 61, 60, 59, 97, 78  (</t>
    </r>
    <r>
      <rPr>
        <sz val="8"/>
        <color theme="3" tint="0.79998168889431442"/>
        <rFont val="Times New Roman"/>
        <family val="1"/>
        <charset val="204"/>
      </rPr>
      <t>149, 151, 152, 153, 154, 155, 156, 157, 158, 159, 160, 161, 162, 163, 164, 165, 166, 167, 168, 169, 131, 150.</t>
    </r>
    <r>
      <rPr>
        <sz val="8"/>
        <rFont val="Times New Roman"/>
        <family val="1"/>
        <charset val="204"/>
      </rPr>
      <t xml:space="preserve"> )</t>
    </r>
  </si>
  <si>
    <r>
      <t xml:space="preserve">П - обр. опор.  79, 77, 76, 75, 74, 73, 72, 71, 70, 69, 68, 67, 66, 65, 64,63, 62, 61, 60, 59. </t>
    </r>
    <r>
      <rPr>
        <sz val="10"/>
        <color theme="3" tint="0.79998168889431442"/>
        <rFont val="Times New Roman"/>
        <family val="1"/>
        <charset val="204"/>
      </rPr>
      <t xml:space="preserve">(149, 151, 152, 153, 154, 155, 156, 157, 158, 159, 160, 161, 162, 163, 164, 165, 166, 167, 168, 169) 
</t>
    </r>
    <r>
      <rPr>
        <sz val="10"/>
        <rFont val="Times New Roman"/>
        <family val="1"/>
        <charset val="204"/>
      </rPr>
      <t xml:space="preserve">АП - обр. опор. 97, 78. </t>
    </r>
    <r>
      <rPr>
        <sz val="10"/>
        <color theme="8" tint="0.79998168889431442"/>
        <rFont val="Times New Roman"/>
        <family val="1"/>
        <charset val="204"/>
      </rPr>
      <t>(131, 150)</t>
    </r>
    <r>
      <rPr>
        <sz val="10"/>
        <rFont val="Times New Roman"/>
        <family val="1"/>
        <charset val="204"/>
      </rPr>
      <t xml:space="preserve">  </t>
    </r>
  </si>
  <si>
    <t>П - обр. опор.(металл. траверсы ж/б приставки)  44, 45.
АП - обр. опор. (металл. траверсы) 43, 43а.
дополнительной П-образной  36а</t>
  </si>
  <si>
    <t>П - обр. опор.(металл. траверсы ж/б приставки) 31а</t>
  </si>
  <si>
    <t xml:space="preserve"> установка ж/б приставок. 31а</t>
  </si>
  <si>
    <t xml:space="preserve"> 44, 45, 36а.</t>
  </si>
  <si>
    <t>31а</t>
  </si>
  <si>
    <t>23, 24, 25, 26, 27, 28, 39, 40, 41, 42, 43, 44, 45, 46, 47, 309, 310, 311, 312, 313, 314, 315, 316, 321, 322, 324, 324а.</t>
  </si>
  <si>
    <r>
      <t>ВЛ 110 кВ Нерюнгринская</t>
    </r>
    <r>
      <rPr>
        <b/>
        <i/>
        <sz val="9"/>
        <color rgb="FFFF0000"/>
        <rFont val="Times New Roman"/>
        <family val="1"/>
        <charset val="204"/>
      </rPr>
      <t xml:space="preserve"> ГРЭС - ВГК</t>
    </r>
  </si>
  <si>
    <r>
      <t xml:space="preserve">ВЛ 110 кВ </t>
    </r>
    <r>
      <rPr>
        <b/>
        <i/>
        <sz val="9"/>
        <color rgb="FFFF0000"/>
        <rFont val="Times New Roman"/>
        <family val="1"/>
        <charset val="204"/>
      </rPr>
      <t>СХК – Беркакит</t>
    </r>
    <r>
      <rPr>
        <b/>
        <i/>
        <sz val="9"/>
        <rFont val="Times New Roman"/>
        <family val="1"/>
        <charset val="204"/>
      </rPr>
      <t xml:space="preserve"> с отпайкой на ПС Гранитная</t>
    </r>
  </si>
  <si>
    <t>установка ж/б приставок 19а, 28, 29, 30, 35, 36.
установка деревянных свай.  2, 27.</t>
  </si>
  <si>
    <t xml:space="preserve">П - обр. опор.(металл. траверсы ж/б приставки) 28, 29, 30, 35, 36.
Замена АП - обр. опор. (металл. траверсы) 2, 27.
Установка дополнительной П-образной опоры 19а
</t>
  </si>
  <si>
    <t>19а, 28, 29, 30, 35, 36.</t>
  </si>
  <si>
    <t>Монтаж грозотросса 41 - 45.</t>
  </si>
  <si>
    <t>41</t>
  </si>
  <si>
    <t>2/12-2/15 (10 - 13 )</t>
  </si>
  <si>
    <r>
      <t xml:space="preserve">Совместный подвес
</t>
    </r>
    <r>
      <rPr>
        <i/>
        <sz val="9"/>
        <rFont val="Times New Roman"/>
        <family val="1"/>
        <charset val="204"/>
      </rPr>
      <t>ВЛ 110 кВ Нерюнгринская ГРЭС – Фабрика I цепь с отпайками; отпайка Опора №49 - РМЗ
ВЛ 110 кВ Нерюнгринская ГРЭС – Фабрика II цепь с отпайками; отпайка  Опора №53 - РМЗ</t>
    </r>
  </si>
  <si>
    <t>49/14-49/23 53/14-53/23 (14-23)</t>
  </si>
  <si>
    <t>35 кВ.</t>
  </si>
  <si>
    <t xml:space="preserve">установка ж/б приставок 61, 62, 63, 64, 65, 66, 69, 70, 71, 72, 73, 75, 76, 77, 78, 79, 81, 82, 67, 68, 80, 84, 85  
</t>
  </si>
  <si>
    <t xml:space="preserve">Замена П - обр. опор. (металл. траверсы ж/б приставки) 61, 62, 63, 64, 65, 66, 69, 70, 71, 72, 73, 75, 76, 77, 78, 79, 81, 82.
АП - обр. опор.(металл. траверсы ж/б приставки) 67, 68, 80, 84, 85 </t>
  </si>
  <si>
    <t>61, 62, 63, 64, 65, 66, 69, 70, 71, 72, 73, 75, 76, 77, 78, 79, 81, 82.</t>
  </si>
  <si>
    <r>
      <t xml:space="preserve">ВЛ 35 кВ </t>
    </r>
    <r>
      <rPr>
        <b/>
        <i/>
        <sz val="9"/>
        <color rgb="FFFF0000"/>
        <rFont val="Times New Roman"/>
        <family val="1"/>
        <charset val="204"/>
      </rPr>
      <t>Фабрика – ХПВ</t>
    </r>
    <r>
      <rPr>
        <b/>
        <i/>
        <sz val="9"/>
        <rFont val="Times New Roman"/>
        <family val="1"/>
        <charset val="204"/>
      </rPr>
      <t xml:space="preserve">  №2</t>
    </r>
  </si>
  <si>
    <t>21-22, 25-26</t>
  </si>
  <si>
    <r>
      <t>ВЛ 35 кВ</t>
    </r>
    <r>
      <rPr>
        <b/>
        <i/>
        <sz val="9"/>
        <color rgb="FFFF0000"/>
        <rFont val="Times New Roman"/>
        <family val="1"/>
        <charset val="204"/>
      </rPr>
      <t xml:space="preserve"> Фабрика –  ХПВ</t>
    </r>
    <r>
      <rPr>
        <b/>
        <i/>
        <sz val="9"/>
        <rFont val="Times New Roman"/>
        <family val="1"/>
        <charset val="204"/>
      </rPr>
      <t xml:space="preserve"> №1 </t>
    </r>
  </si>
  <si>
    <t>1.4.</t>
  </si>
  <si>
    <t>А.Н. Кулёмин</t>
  </si>
  <si>
    <t>Е.Г. Белослудцев</t>
  </si>
  <si>
    <t>6-10 кВ.</t>
  </si>
  <si>
    <t>Установка РДИП</t>
  </si>
  <si>
    <t>35кВ.</t>
  </si>
  <si>
    <t>0,4 кВ.</t>
  </si>
  <si>
    <t xml:space="preserve">Ремонт освещения </t>
  </si>
  <si>
    <t>По состоянию</t>
  </si>
  <si>
    <t>Замена трансформаторов СН</t>
  </si>
  <si>
    <t>Замена конденсатов связи</t>
  </si>
  <si>
    <t>Бурение скважин, установка приставок (дерев.)</t>
  </si>
  <si>
    <t>Бурение скважин, установка приставок (ж/б)</t>
  </si>
  <si>
    <t>км</t>
  </si>
  <si>
    <t xml:space="preserve">Замена портала </t>
  </si>
  <si>
    <t xml:space="preserve">Ремонт шинного моста </t>
  </si>
  <si>
    <t>СДТУ</t>
  </si>
  <si>
    <t>Замена кабельной линии</t>
  </si>
  <si>
    <t>м2</t>
  </si>
  <si>
    <t>Механизированное расширение просек</t>
  </si>
  <si>
    <t>Классификация ремонтов</t>
  </si>
  <si>
    <t>Начало (чч.мм.гггг)</t>
  </si>
  <si>
    <t>Окончание (чч.мм.гггг)</t>
  </si>
  <si>
    <t>Вид ремонта (ТР; КР; СР)</t>
  </si>
  <si>
    <t>Линии электропередач, 35 кВ</t>
  </si>
  <si>
    <t>Линии электропередач 110 кВ</t>
  </si>
  <si>
    <t>Линии электропередач, 6-10 кВ</t>
  </si>
  <si>
    <t>Линии электропередач, 0,4 кВ</t>
  </si>
  <si>
    <t>Оборудование  ПС 110-220 кВ</t>
  </si>
  <si>
    <t>Оборудование  ПС 35 кВ</t>
  </si>
  <si>
    <t>2.</t>
  </si>
  <si>
    <t>1.</t>
  </si>
  <si>
    <t>3.</t>
  </si>
  <si>
    <t>4.</t>
  </si>
  <si>
    <t>5.</t>
  </si>
  <si>
    <t>6.</t>
  </si>
  <si>
    <t>7.</t>
  </si>
  <si>
    <t>ТМ-160</t>
  </si>
  <si>
    <t>Прочее оборудование</t>
  </si>
  <si>
    <t>8.</t>
  </si>
  <si>
    <t>8.1.</t>
  </si>
  <si>
    <t>8.2.</t>
  </si>
  <si>
    <t>9.</t>
  </si>
  <si>
    <t>АСУТП, РЗА и ПА, Оборудование СДТУ и связи, Системы безопасности, АСУП, системы телекоммуникаций</t>
  </si>
  <si>
    <t>10.</t>
  </si>
  <si>
    <t>10.1.</t>
  </si>
  <si>
    <t>35кВ</t>
  </si>
  <si>
    <t>0,4кВ</t>
  </si>
  <si>
    <t>АИИСКУЭ</t>
  </si>
  <si>
    <t>Резерв средств на АВР</t>
  </si>
  <si>
    <t>1.Передаточные устройства, в том числе:</t>
  </si>
  <si>
    <t>РЗА</t>
  </si>
  <si>
    <t>ТП 6-10/0,4 кВ, шт.</t>
  </si>
  <si>
    <t xml:space="preserve"> ЛЭП 110 кВ, км.</t>
  </si>
  <si>
    <t xml:space="preserve"> ЛЭП 35 кВ, км.</t>
  </si>
  <si>
    <t xml:space="preserve"> ЛЭП 6-10 кВ, км.</t>
  </si>
  <si>
    <t xml:space="preserve"> ЛЭП 0,4 кВ, км.</t>
  </si>
  <si>
    <t>Трансформаторы СН, шт.</t>
  </si>
  <si>
    <t>Трансформаторы 110 кВ, шт.</t>
  </si>
  <si>
    <t>Трансформаторы 35 кВ, шт.</t>
  </si>
  <si>
    <t>Трансформаторы 35/0,4 кВ, шт.</t>
  </si>
  <si>
    <t>Трансформаторы 6-10/0,4 кВ, шт.</t>
  </si>
  <si>
    <t>Выключатели 110 кВ, шт.</t>
  </si>
  <si>
    <t>Выключатели 35 кВ, шт.</t>
  </si>
  <si>
    <t>Выключатели 6-10 кВ, шт.</t>
  </si>
  <si>
    <t>11.</t>
  </si>
  <si>
    <t>12.</t>
  </si>
  <si>
    <t>13.</t>
  </si>
  <si>
    <t>14.</t>
  </si>
  <si>
    <t>14.1.</t>
  </si>
  <si>
    <t>КР</t>
  </si>
  <si>
    <t>ТР</t>
  </si>
  <si>
    <t>СР</t>
  </si>
  <si>
    <t>Капитальный ремонт</t>
  </si>
  <si>
    <t>Средний ремонт</t>
  </si>
  <si>
    <t>Текущий ремонт</t>
  </si>
  <si>
    <t>10.2</t>
  </si>
  <si>
    <t>Обосн-е*</t>
  </si>
  <si>
    <t xml:space="preserve">Сроки выполнения работ </t>
  </si>
  <si>
    <t>2.Оборудование подстанций 6-110 кВ</t>
  </si>
  <si>
    <t>Оборудование подстанций 110 кВ</t>
  </si>
  <si>
    <t>Оборудование подстанций 35 кВ</t>
  </si>
  <si>
    <t>Трансформаторные подстанции 6-10/0,4 кВ</t>
  </si>
  <si>
    <t>3.Прочее оборудование, в том числе:</t>
  </si>
  <si>
    <t>4.Здания и сооружения</t>
  </si>
  <si>
    <t>5.Системы безопасности, РЗА  и системы телекоммуникаций, в том числе:</t>
  </si>
  <si>
    <t>Расчистка просек на ЛЭП 110 кВ., га, в том числе</t>
  </si>
  <si>
    <t>Расширение просек на ЛЭП 110 кВ., га</t>
  </si>
  <si>
    <t>Расчистка просек, на ЛЭП 35 кВ.га, в том числе</t>
  </si>
  <si>
    <t>Расширение просек, на ЛЭП 35 кВ., га</t>
  </si>
  <si>
    <t>Расчистка просек 0,4-110 кВ, га, в том числе</t>
  </si>
  <si>
    <t>Расширение просек 0,4-110 кВ, га</t>
  </si>
  <si>
    <t>Расчистка просек на ЛЭП 6-10 кВ, га, в том числе</t>
  </si>
  <si>
    <t>Расширение просек на ЛЭП 6-10 кВ, га</t>
  </si>
  <si>
    <t>Расчистка просек на ЛЭП 0,4 кВ, га, в том числе</t>
  </si>
  <si>
    <t>Расширение просек на ЛЭП 0,4 кВ, га</t>
  </si>
  <si>
    <t>ЦЭС</t>
  </si>
  <si>
    <t>БРЭС</t>
  </si>
  <si>
    <t>Оп. № 30/1, 30/2, 30/3, 30/4,  30/5/1, 382/7, 30/8, 30/5, 30/6</t>
  </si>
  <si>
    <t>Оп. № 30/5, 30/8</t>
  </si>
  <si>
    <t>На стойках, поперечные микро-трещины трещины, изгиб вдоль тела опоры.</t>
  </si>
  <si>
    <t xml:space="preserve">Механические деформации. Коррозия металла. </t>
  </si>
  <si>
    <t>Изоляция подвержена ржавлению. Имеются следы разрушения глазури вследствие токов КЗ</t>
  </si>
  <si>
    <t xml:space="preserve">Оп. № 30/5/1 , 30/8/1 </t>
  </si>
  <si>
    <t>Пр. оп. 30/1 – 30/8, 30/5 – 30/5/1, 30/8 – 30/8/1</t>
  </si>
  <si>
    <t>Скрутки, прожоги от КЗ</t>
  </si>
  <si>
    <t xml:space="preserve">НВ010563 </t>
  </si>
  <si>
    <t>Оп. № 382/2, 382/3, 382/4, 382/6, 382/8, 382/9, 391,382., 382/7, 382/5, 382/10, 390, 389, 392, 393, 394</t>
  </si>
  <si>
    <t>Опоры выдавлены, имеются наклоны поперёк линии и в линию, микротрещины, разрушение бетона на границе земля-воздух.</t>
  </si>
  <si>
    <t>Оп. № 382/5/1</t>
  </si>
  <si>
    <t>. Необходимо сократить длину пролёта с целью увеличения габарита между проводом и поверхностью земли до 7,5 м.</t>
  </si>
  <si>
    <t>Оп. № 382/10,389,394</t>
  </si>
  <si>
    <t xml:space="preserve">Пр. оп. 382/1 – 382/10 </t>
  </si>
  <si>
    <t>ВРЭС</t>
  </si>
  <si>
    <t xml:space="preserve">Ручная расчистка </t>
  </si>
  <si>
    <t>Наклон опоры</t>
  </si>
  <si>
    <t>Наклон опор</t>
  </si>
  <si>
    <t>Оп. № 10,31,35,69,70,85,99/2,100,
104/1,114/5</t>
  </si>
  <si>
    <t xml:space="preserve">Наличие кустарника высотой  4-6 м  в охранной зоне ВЛ </t>
  </si>
  <si>
    <t>Пр. оп. № 55-56,94-95,104/5-104/6,104-105,114/4-114/5,126-127,129-131,133-133/2,134-138</t>
  </si>
  <si>
    <t>HB010040</t>
  </si>
  <si>
    <t>Оп. № 395,396</t>
  </si>
  <si>
    <t xml:space="preserve">Основание ж/б опоры разрушено </t>
  </si>
  <si>
    <t>HB010054</t>
  </si>
  <si>
    <t>Оп. № 32,170/12</t>
  </si>
  <si>
    <t>Пр.оп. № 63-66,96/17-96/18,97-98,100-101,104-108,109-111,120-121,141-148,149-161,165-166,167-169,170/10-170/12,170/13-170/15,175-178,178-179,189-190,196-199,208-209,219-220,256-258,272-280,283-285</t>
  </si>
  <si>
    <t>Оп. № 33, 78,79,125,127,170/11/2,
283/3</t>
  </si>
  <si>
    <t>HB010037</t>
  </si>
  <si>
    <t>Оп. № 73</t>
  </si>
  <si>
    <t xml:space="preserve">Механизированная расчистка </t>
  </si>
  <si>
    <t>Пр.оп. № 13-21,22-23,54-55,65-66,75-76,84-85,87-89,90-92</t>
  </si>
  <si>
    <t xml:space="preserve">Пр.оп. № 13-21,22-23,54-55,65-66,75-76,84-85,87-89,90-92 </t>
  </si>
  <si>
    <t xml:space="preserve">Поросль вокруг опор, банкетки  опор </t>
  </si>
  <si>
    <t>Пр.оп. № 5-8, 12-16, 21-26, 29-33А, 35-35/6, 37-41, 41-41/2, 41/4-41/5, 42-47, 44-44/4, 44/7-44/10, 44/12-44/14, 50-52, 53-53/2, 55-55/2, 58-60</t>
  </si>
  <si>
    <t>Ветки в проводах</t>
  </si>
  <si>
    <t>Угрожающие деревья</t>
  </si>
  <si>
    <t>Пр.оп. № 2-4, 6-14, 21-23, 26-27, 27/2-27/4, 28-30, 33-33/1, 36-39, 42-42/1</t>
  </si>
  <si>
    <t>Пр.оп. № 18-19, 26-27, 28-36, 37-39, 42-44, 50/2-50/3, 51-52, 54-58, 63/1-63/2, 64-65, 70/1-70/2, 75-76</t>
  </si>
  <si>
    <t>ТП 6-10/0,4 кВ</t>
  </si>
  <si>
    <t>ТМ-250</t>
  </si>
  <si>
    <t>Ремонт строительной части ТП</t>
  </si>
  <si>
    <t>Ремонт РУ 10-0,4 кВ</t>
  </si>
  <si>
    <t>Покраска ТП - 45 м2, ремонт контура заземления - 1 шт</t>
  </si>
  <si>
    <t>Текущий ремонт ТМ</t>
  </si>
  <si>
    <t xml:space="preserve">Потеки масла на трансформаторе, поверхностная коррозия корпуса трансформатора    </t>
  </si>
  <si>
    <t>НВ010111</t>
  </si>
  <si>
    <t>ТМ-630</t>
  </si>
  <si>
    <t>Покраска ТП - 64 м2, ремонт контура заземления - 1 шт</t>
  </si>
  <si>
    <t>НВ010098</t>
  </si>
  <si>
    <t>НВ010090</t>
  </si>
  <si>
    <t>ТМ-63</t>
  </si>
  <si>
    <t>Покраска ТП - 25 м2, ремонт контура заземления - 1 шт</t>
  </si>
  <si>
    <t>ТМ-400</t>
  </si>
  <si>
    <t>ТП-1752 г.Вяземский</t>
  </si>
  <si>
    <t>Покраска ТП - 60 м2, ремонт контура заземления - 1 шт</t>
  </si>
  <si>
    <t>ТП-1762 г.Вяземский</t>
  </si>
  <si>
    <t>Покраска ТП - 40 м2, ремонт контура заземления - 1 шт</t>
  </si>
  <si>
    <t>Покраска ТП - 40 м2</t>
  </si>
  <si>
    <t>Установка ОПН 0,4 - 3 шт.</t>
  </si>
  <si>
    <t>HB037182</t>
  </si>
  <si>
    <t xml:space="preserve">HB037211 </t>
  </si>
  <si>
    <t>ТП-1888 г.Вяземский</t>
  </si>
  <si>
    <t>ТП-1934 г.Вяземский</t>
  </si>
  <si>
    <t>Покраска ТП - 20 м2, ремонт контура заземления - 1 шт</t>
  </si>
  <si>
    <t xml:space="preserve">ПС 110 кВ Бикин   </t>
  </si>
  <si>
    <t xml:space="preserve">НВ010624 </t>
  </si>
  <si>
    <t>ТР-110 2Т</t>
  </si>
  <si>
    <t>ОПН-110 2с - 3шт, 110 2Т - 3шт, 55 2Т - 1 шт</t>
  </si>
  <si>
    <t>Ремонт ОПН, разрядников 110 кВ</t>
  </si>
  <si>
    <t>ТТ-110 ОСВ</t>
  </si>
  <si>
    <t>В-10 - ячейка № 5, 15, 25</t>
  </si>
  <si>
    <t>HB010618</t>
  </si>
  <si>
    <t>ПС 110 кВ Лермонтовка</t>
  </si>
  <si>
    <t>ВМП-10 В-10, Ф-12, Ф-14  на ВВ</t>
  </si>
  <si>
    <t>Ремонт разъединителя 110 кВ</t>
  </si>
  <si>
    <t>ШР 110 2Т 2с, ЛР 110 С-32, ШР 110 ТН 2с, СР 110 2с , ШР 110 РП 2с</t>
  </si>
  <si>
    <t xml:space="preserve">РВС-35+15 2Т </t>
  </si>
  <si>
    <t>Ремонт заземлителя 110 кВ</t>
  </si>
  <si>
    <t>Ремонт отделителя 110 кВ</t>
  </si>
  <si>
    <t>Ремонт короткозамыкателя 110 кВ</t>
  </si>
  <si>
    <t xml:space="preserve"> Р-110 2с </t>
  </si>
  <si>
    <t>ОД-110М 2Т</t>
  </si>
  <si>
    <t>КЗ-110 2Т</t>
  </si>
  <si>
    <t>ЗОН-110М 2Т</t>
  </si>
  <si>
    <t>НВ010178</t>
  </si>
  <si>
    <t xml:space="preserve">1Т ТДТН-10000 , 2Т ТДТН-10000 </t>
  </si>
  <si>
    <t xml:space="preserve">ШР-110 ТН-110 1С, ШР-110 ТН-110 2С , РРП-110  С-28, РРП-110  С-26, СР-110 1С, СР-110 2С, ТР-110 1Т , ТР-110 2Т ,1ШР-110 С-28 , 2ШР-110 С-26  </t>
  </si>
  <si>
    <t xml:space="preserve">ЗОН  1Т, ЗОН  2Т </t>
  </si>
  <si>
    <t xml:space="preserve">ОПН-110  1Т, ОПН-110  2Т ,ОПН- 0  1Т , ОПН- 0  2Т, ОПН- 10  1Т , ОПН- 10  2Т  </t>
  </si>
  <si>
    <t xml:space="preserve">СВ-10 ЯЧ. 6  ВМГ-133 </t>
  </si>
  <si>
    <t>НВ010070</t>
  </si>
  <si>
    <t>РВС-110  1Т на ОПН 110</t>
  </si>
  <si>
    <t xml:space="preserve">ОПН-10 </t>
  </si>
  <si>
    <t xml:space="preserve">1Т ТМ-6300 </t>
  </si>
  <si>
    <t>НВ010120</t>
  </si>
  <si>
    <t xml:space="preserve">1Т ТМ-2500, 2Т ТМ-2500 </t>
  </si>
  <si>
    <t>Ремонт ОПН, разрядников 35 кВ</t>
  </si>
  <si>
    <t>Ремонт ОПН, разрядников35 кВ</t>
  </si>
  <si>
    <t>Ремонт разъединителя 35 кВ</t>
  </si>
  <si>
    <t xml:space="preserve">ОПН-35 1Т,ОПН-35 2Т, ОПН-10 1Т,ОПН-10 2Т </t>
  </si>
  <si>
    <t xml:space="preserve">ШР-10 1ТН яч. № 5, ШР-10 2ТСН-10 </t>
  </si>
  <si>
    <t>НВ010184</t>
  </si>
  <si>
    <t xml:space="preserve">ТР-35 1Т, ТР-35 2Т, ШР-35 1Т ,ШР-35 2Т, СР-35 1С, СР-35 2С, ШР-35 Т-73, ЛР-35 Т-73, ШР-35 ТН-35 1С, ШР-35 ТН-35 2С </t>
  </si>
  <si>
    <t>Ремонт трансформатора напряжения 110 кВ</t>
  </si>
  <si>
    <t xml:space="preserve">1Т  ТМТН-6300, 2Т  ТМТН-6300  </t>
  </si>
  <si>
    <t xml:space="preserve">ОД-110  1Т, ОД-110  2Т </t>
  </si>
  <si>
    <t>КЗ-110 1Т, КЗ-110 2Т</t>
  </si>
  <si>
    <t>ЗОН-110 1Т,ЗОН-110 2Т</t>
  </si>
  <si>
    <t xml:space="preserve">СР-10 яч.13  </t>
  </si>
  <si>
    <t xml:space="preserve">ТН-10 1С яч.8, ТН-10 2С яч.17 </t>
  </si>
  <si>
    <t>ОПН 110 кВ</t>
  </si>
  <si>
    <t>ОПН 35 кВ</t>
  </si>
  <si>
    <t>ОПН 6 кВ</t>
  </si>
  <si>
    <t>НВ010078</t>
  </si>
  <si>
    <t>ОПН 110 кВ 1Т, ОПН 110 кВ 2Т</t>
  </si>
  <si>
    <t xml:space="preserve">ТТ-35 Т-72 </t>
  </si>
  <si>
    <t xml:space="preserve">ТН-35 1С , ТН-35 2С </t>
  </si>
  <si>
    <t>HB010077</t>
  </si>
  <si>
    <t>Ремонт разъединителя 10 кВ</t>
  </si>
  <si>
    <t>Замен изолятора проходного</t>
  </si>
  <si>
    <t xml:space="preserve">  ТР-35 1Т,ШР-35 1Т,ТР-35 2Т,ШР-35 2Т </t>
  </si>
  <si>
    <t>ШР-10 ЯЧ.1,ЛР-10 ЯЧ.1,ШР-10 ЯЧ.2,ЛР-10 ЯЧ.2,ШР-10 1Т ЯЧ.3,   ТР-10 1Т ЯЧ.3,ШР-10 1ТСН-10 ЯЧ.4,ШР-10 ЯЧ.5,ЛР-10 ЯЧ.5,ШР-10 1ТН ЯЧ.6 , ЗН-10 ЯЧ.6,ШР-10 ЯЧ.7,ЛР-10 ЯЧ.7,СР-10 1С ЯЧ.8,СР-10 2С  ЯЧ.8,ШР-10 ЯЧ.9,ЛР-10 ЯЧ.9,ШР-10 2ТН ЯЧ.10 , ЗН ШР-10 2ТН ЯЧ.10,ШР-10 2ТСН-10 ЯЧ.12,ЛР-10 ЯЧ11,ШР-10 2ТСН-10,ШР-10 2Т ЯЧ.13 ,ТР-10 2Т ЯЧ.13</t>
  </si>
  <si>
    <t>ИПУ-10/630</t>
  </si>
  <si>
    <t xml:space="preserve">ОПН-35 1С,ОПН-35 2С </t>
  </si>
  <si>
    <t xml:space="preserve">ОПН-10 1Т,ОПН-10 2Т </t>
  </si>
  <si>
    <t>СРЭС</t>
  </si>
  <si>
    <t>HB009712</t>
  </si>
  <si>
    <t>ТЛМ-10</t>
  </si>
  <si>
    <t>HB009728</t>
  </si>
  <si>
    <t>ТМН-6300/35-У1</t>
  </si>
  <si>
    <t>РВС-35
Р-35 1Т</t>
  </si>
  <si>
    <t>HB009730</t>
  </si>
  <si>
    <t>Текущий ремонт ОПН, разрядников 6-10 кВ</t>
  </si>
  <si>
    <t>Р-35 1Т,Р-35 2Т</t>
  </si>
  <si>
    <t>Р-20 1ДК,Р-20 2ДК</t>
  </si>
  <si>
    <t>ТМН-4000-35/6 1Т,ТМН-4000-35/6 2Т</t>
  </si>
  <si>
    <t>HB009330</t>
  </si>
  <si>
    <t>Р-35 2Т</t>
  </si>
  <si>
    <t>ТМ-2500-35/10</t>
  </si>
  <si>
    <t>HB009760</t>
  </si>
  <si>
    <t>Ремонт трансформатора напряжения 35 кВ</t>
  </si>
  <si>
    <t>1Т ТМН-6300/35/6, 2Т ТМН-6300/35/6</t>
  </si>
  <si>
    <t>1ТСН,2ТСН</t>
  </si>
  <si>
    <t>ТН-6 1с</t>
  </si>
  <si>
    <t>Ремонт трансформатора напряжения 10 кВ</t>
  </si>
  <si>
    <t>ТН-35 1с,ТН-35 2с</t>
  </si>
  <si>
    <t>ТН-10 1с,ТН-10 2с</t>
  </si>
  <si>
    <t>ОПН-35 1Т,ОПН-35 2Т</t>
  </si>
  <si>
    <t>ОПН-10 1Т,ОПН-10 2Т</t>
  </si>
  <si>
    <t xml:space="preserve">ПС 110 кВ Котиково </t>
  </si>
  <si>
    <t xml:space="preserve">ПС 35 кВ Шереметьево </t>
  </si>
  <si>
    <t xml:space="preserve">ПС 35  кВ Благодатное </t>
  </si>
  <si>
    <t xml:space="preserve">ПС 110 кВ Вяземская </t>
  </si>
  <si>
    <t>ПС 110  кВ Дормидонтовка</t>
  </si>
  <si>
    <t>ПС 35 кВ Капитоновка</t>
  </si>
  <si>
    <t xml:space="preserve">ПС 110 кВ Красицкая </t>
  </si>
  <si>
    <t>ПС 35 кВ Дубки</t>
  </si>
  <si>
    <t>ПС 35 кВ Заозерная</t>
  </si>
  <si>
    <t>ПС 35 кВ Краснознаменка</t>
  </si>
  <si>
    <t>ПС 35 кВ Чернореченская</t>
  </si>
  <si>
    <t>ПС 35 кВ Сергеевка</t>
  </si>
  <si>
    <t>ПС 35 кВ БН</t>
  </si>
  <si>
    <t>HB010349</t>
  </si>
  <si>
    <t>ВМГ-133 В 6 яч.8</t>
  </si>
  <si>
    <t>ГРЭС</t>
  </si>
  <si>
    <t>МКП-35 В 35 Т-7,Т-8</t>
  </si>
  <si>
    <t>ПС 35 кВ Втормет</t>
  </si>
  <si>
    <t xml:space="preserve">В 6 типа BB/TEL-10/20-1000 яч.7,1,3,5,11,12,18,20,23,24,25,26,28,29,30,31,32,34,35,36,37      </t>
  </si>
  <si>
    <t>ПС 35 кВ Горка</t>
  </si>
  <si>
    <t>HB010382</t>
  </si>
  <si>
    <t>1Т - ТМ-35/6 6300,2Т - ТМН-35/6 10000кВА</t>
  </si>
  <si>
    <t>HB010278</t>
  </si>
  <si>
    <t>ПС 35 кВ Интурист</t>
  </si>
  <si>
    <t>ВМПЭ-10 В 6 яч 21</t>
  </si>
  <si>
    <t>HB010339</t>
  </si>
  <si>
    <t>ПС 35 кВ Карьер</t>
  </si>
  <si>
    <t>Ремонт отделителя 35 кВ</t>
  </si>
  <si>
    <t>Ремонт короткозамыкателя 35 кВ</t>
  </si>
  <si>
    <t>ОД-35 1Т,2Т</t>
  </si>
  <si>
    <t>КЗ-35 1Т,2Т</t>
  </si>
  <si>
    <t xml:space="preserve">HB010350 </t>
  </si>
  <si>
    <t>ПС 35 кВ Р</t>
  </si>
  <si>
    <t xml:space="preserve">ВМ - 35/600 В 35 Т-13 </t>
  </si>
  <si>
    <t>ЮРЭС</t>
  </si>
  <si>
    <t>НВ008529</t>
  </si>
  <si>
    <t>ПС 35 кВ Корейский поселок</t>
  </si>
  <si>
    <t>ПС 35 кВ Некрасовка</t>
  </si>
  <si>
    <t>HB008475</t>
  </si>
  <si>
    <t>Замена изолятора опорного</t>
  </si>
  <si>
    <t>НВ008209</t>
  </si>
  <si>
    <t xml:space="preserve">РНДЗ-2-35/1000  ПРН-220 М ШР 35 1Т </t>
  </si>
  <si>
    <t>ШР 35 1Т</t>
  </si>
  <si>
    <t>НВ008204</t>
  </si>
  <si>
    <t>ПС 110  кВ Бройлерная-2</t>
  </si>
  <si>
    <t>РВС 35 1с, РВС 35 2с</t>
  </si>
  <si>
    <t>ПС 35 Ильинка</t>
  </si>
  <si>
    <t xml:space="preserve">ОРУ 35, В 35 1Т, В 35 2Т  </t>
  </si>
  <si>
    <t>НВ08532</t>
  </si>
  <si>
    <t xml:space="preserve">ОПН 6 1Т </t>
  </si>
  <si>
    <t xml:space="preserve">1ТСН 6 (ТМ-25/6) </t>
  </si>
  <si>
    <t>ПС 35 кВ Краснореченская</t>
  </si>
  <si>
    <t>HB008207</t>
  </si>
  <si>
    <t>ОПН-6 1Т,ОПН-6 2Т</t>
  </si>
  <si>
    <t>Ремонт выключателя 35 кВ</t>
  </si>
  <si>
    <t>В 35 1Т, В 35 2Т, СВ-35</t>
  </si>
  <si>
    <t xml:space="preserve">1ТСН 6, 2ТСН 6 (ТМ-25/6) </t>
  </si>
  <si>
    <t xml:space="preserve">1Т (ТМ-6300/35/6 зав.№051 ), 2Т (ТМ-6300/35/6 зав.№1154 ) </t>
  </si>
  <si>
    <t>1Т (ТМ-6300/35/10 зав.№1061 )</t>
  </si>
  <si>
    <t>Замена привода выключателей 6-10 кВ</t>
  </si>
  <si>
    <t>РНДЗ-2-35/1000  ПРН-220 М</t>
  </si>
  <si>
    <t>РВС 35 1Т, РВС 35 2Т на ОПН 35</t>
  </si>
  <si>
    <t xml:space="preserve">КРУН 6 яч.7, В 6 яч.7 , КРУН 6 яч.3, В 6 1Т, КРУН 6 яч.15, В 6 2Т </t>
  </si>
  <si>
    <t>ЛРЭС</t>
  </si>
  <si>
    <t>ПС 35 кВ Георгиевка</t>
  </si>
  <si>
    <t>ТМ-4000/35  зав. №237</t>
  </si>
  <si>
    <t>НВ011006
НВ011169</t>
  </si>
  <si>
    <t>ШР 35 1Т, ШР 35 2Т, ЛР 35 Т-53, ЛР 35 Т-27, СР 35 1с, СР 35 2с</t>
  </si>
  <si>
    <t>ОПН-35 1Т, 2Т</t>
  </si>
  <si>
    <t>1 ТСН зав.№ 18139
2 ТСН зав.№ 9917</t>
  </si>
  <si>
    <t>НВ011161</t>
  </si>
  <si>
    <t>ПС 35 кВ Переяславка</t>
  </si>
  <si>
    <t>В 35 1Т</t>
  </si>
  <si>
    <t>НВ010803
НВ011161</t>
  </si>
  <si>
    <t>1Т № 322</t>
  </si>
  <si>
    <t>Ремонт трансформаторов СН 6-10 кВ</t>
  </si>
  <si>
    <t>1 ТСН зав.№ 1382</t>
  </si>
  <si>
    <t>ОПН-35 1Т</t>
  </si>
  <si>
    <t>ПС 35 кВ Святогорье</t>
  </si>
  <si>
    <t>1Т № 3364, 2Т№ 846</t>
  </si>
  <si>
    <t>НВ010804
НВ011167
НВ011144</t>
  </si>
  <si>
    <t>Ремонт ОПН, разрядников 6-10 кВ</t>
  </si>
  <si>
    <t xml:space="preserve">ОПН 35 1Т, ОПН 35 2Т </t>
  </si>
  <si>
    <t>ОПН 10 1Т, ОПН 10 2Т</t>
  </si>
  <si>
    <t xml:space="preserve">ШР 35 2Т </t>
  </si>
  <si>
    <t>НВ010960</t>
  </si>
  <si>
    <t>ПС 35 кВ Черняево</t>
  </si>
  <si>
    <t>ЛР 35 Т-71</t>
  </si>
  <si>
    <t>РВП-10 на ОПН-10</t>
  </si>
  <si>
    <t>1Т № 93156</t>
  </si>
  <si>
    <t>ОПН 35 1Т</t>
  </si>
  <si>
    <t>ПС 110 кВ Гродеково</t>
  </si>
  <si>
    <t xml:space="preserve">2Т зав №9256 </t>
  </si>
  <si>
    <t>В-35 1Т, 2Т</t>
  </si>
  <si>
    <t>ШР 110 2Т, СР 110 2с</t>
  </si>
  <si>
    <t xml:space="preserve">ОПН 110 2Т </t>
  </si>
  <si>
    <t>ОПН 35 2Т, ОПН 0 2Т, ОПН 35 ТН</t>
  </si>
  <si>
    <t xml:space="preserve">яч.6 ТН 10 1с </t>
  </si>
  <si>
    <t>НВ011009
НВ010959
HB011208</t>
  </si>
  <si>
    <t>В 10 яч.7, В 10 яч.9, СВ 10 яч.10</t>
  </si>
  <si>
    <t>Ремонт выключателя 6-10 кВ</t>
  </si>
  <si>
    <t>НВ011165</t>
  </si>
  <si>
    <t xml:space="preserve">ПС 110 кВ Золотая </t>
  </si>
  <si>
    <t>ОД 110 1Т</t>
  </si>
  <si>
    <t>КЗ 110 1Т</t>
  </si>
  <si>
    <t>Замена ОПН, разрядников 10 кВ</t>
  </si>
  <si>
    <t>ОПН 10 1Т</t>
  </si>
  <si>
    <t>Замена предохранителя</t>
  </si>
  <si>
    <t>ПКТ 101-10-10-12,5 УЗ</t>
  </si>
  <si>
    <t xml:space="preserve">ИО-10-3,75 II У3 </t>
  </si>
  <si>
    <t>ПС 110  кВ Золотая</t>
  </si>
  <si>
    <t>ОПН 110 1Т</t>
  </si>
  <si>
    <t>1 ТСН № 836521</t>
  </si>
  <si>
    <t xml:space="preserve">НВ010812
НВ011001
</t>
  </si>
  <si>
    <t>ПС 110 кВ Хор</t>
  </si>
  <si>
    <t>2Т ТДТН-16000 зав.№ 4097</t>
  </si>
  <si>
    <t>ОПН 110 1с, ОПН 110 2с</t>
  </si>
  <si>
    <t>ОПН 35 1с, ОПН 35 2с, ОПН 0 1Т, ОПН 0 2Т</t>
  </si>
  <si>
    <t>В 35 Т-71</t>
  </si>
  <si>
    <t>ЗОН-110М 1Т, 2Т</t>
  </si>
  <si>
    <t>ШР 35 ТН 1с</t>
  </si>
  <si>
    <t>ШР 110 1Т, ШР 110 2Т, ТР 110 1Т, ТР 110 2Т, СР 110 1с, СР 110 2с, ШР 110 ТН 1с, ШР 110 ТН 2с</t>
  </si>
  <si>
    <t>HB011106</t>
  </si>
  <si>
    <t>ПС 110 кВ Сукпай</t>
  </si>
  <si>
    <t>ТН 110 1с, ТН 110 2с</t>
  </si>
  <si>
    <t>ТН 10 1с яч.13, ТН 10 2с яч.19</t>
  </si>
  <si>
    <t>НВ011164</t>
  </si>
  <si>
    <t>ПС 110 кВ Сидима</t>
  </si>
  <si>
    <t>1Т</t>
  </si>
  <si>
    <t>ОПН-110 1Т</t>
  </si>
  <si>
    <t>ОПН-0 1Т</t>
  </si>
  <si>
    <t xml:space="preserve">ПС 110 кВ Сидима </t>
  </si>
  <si>
    <t>ШР 110 1Т, ЛР 110 С-36, ЛР 110 С-37</t>
  </si>
  <si>
    <t>ПС 110 кВ Петровичи</t>
  </si>
  <si>
    <t>HB011162</t>
  </si>
  <si>
    <t>ТСН-1ТМ-100 №874А408, ТСН-2 ТМ-100 №107972</t>
  </si>
  <si>
    <t>ОПН 110 1Т, ОПН 110 2Т</t>
  </si>
  <si>
    <t>ОПН 35 1Т, ОПН 35 2Т, ОПН 0 1Т, ОПН 0 2Т</t>
  </si>
  <si>
    <t>НВ010829</t>
  </si>
  <si>
    <t>ПС 110 кВ Обор</t>
  </si>
  <si>
    <t>Ремонт выключателя 110 кВ</t>
  </si>
  <si>
    <t>ЗНШМ-110  1Т</t>
  </si>
  <si>
    <t>ОПН 0 1Т</t>
  </si>
  <si>
    <t>В 10 1Т яч.7, Тип ВМГ-133</t>
  </si>
  <si>
    <t>В 110 1Т, В 110 С-35</t>
  </si>
  <si>
    <t xml:space="preserve">НВ010828
НВ010813
</t>
  </si>
  <si>
    <t>ПС 110 кВ Сита</t>
  </si>
  <si>
    <t>1Т зав №25711</t>
  </si>
  <si>
    <t xml:space="preserve">ЗНШМ 110  </t>
  </si>
  <si>
    <t>ОПН 0 1Т, ОПН 35 1Т</t>
  </si>
  <si>
    <t xml:space="preserve">ТН 10 яч.10 </t>
  </si>
  <si>
    <t>ПС 110 кВ Мухен</t>
  </si>
  <si>
    <t>ШР 110 1Т, ШР 110 2Т, СР 110 1с, СР 110 2с, ШР 110 С-36, ЛР 110 С-36, ЛР 110 С-35</t>
  </si>
  <si>
    <t>ПС 35 кВ Водозабор</t>
  </si>
  <si>
    <t>СПС</t>
  </si>
  <si>
    <t>Ф «В» в ст. шин</t>
  </si>
  <si>
    <t>ф «А» в ст. 1Т</t>
  </si>
  <si>
    <t>Ф «С» в ст. 2Т</t>
  </si>
  <si>
    <t>ПС 35 кВ НС-2</t>
  </si>
  <si>
    <t>ПС 35 кВ Тепличный комбинат</t>
  </si>
  <si>
    <t>HB010960</t>
  </si>
  <si>
    <t>Ф «С» в ст. 1Т и в ст. шин – 2 шт</t>
  </si>
  <si>
    <t>НВ010624</t>
  </si>
  <si>
    <t>ПС 110 кВ Бикин</t>
  </si>
  <si>
    <t>ПС 110 кВ ГВФ</t>
  </si>
  <si>
    <t>Замена катушки выключателя</t>
  </si>
  <si>
    <t>ПС 110 кВ Энергомаш</t>
  </si>
  <si>
    <t>HB032890</t>
  </si>
  <si>
    <t>ПС 35 кВ Маяк</t>
  </si>
  <si>
    <t>HB010348</t>
  </si>
  <si>
    <t>ПС 35 кВ СМ</t>
  </si>
  <si>
    <t>В 35 1Т,2Т,3Т,Т-1,Т-2,Т-24,ШСВ 35</t>
  </si>
  <si>
    <t>НАМИ 35 1ТН 35,2ТН 35</t>
  </si>
  <si>
    <t>HB010348
HB010308</t>
  </si>
  <si>
    <t xml:space="preserve">1Т типа ТДНС-35/6 кВ, 2Т типа ТДН-35/6 кВ </t>
  </si>
  <si>
    <t>ПС 35 кВ СВ</t>
  </si>
  <si>
    <t>HB031853
HB010341</t>
  </si>
  <si>
    <t xml:space="preserve">1Т типа ТДН-35/6 кВ, 2Т типа ТДНС-35/6 кВ </t>
  </si>
  <si>
    <t xml:space="preserve">В 6 яч.14,23  </t>
  </si>
  <si>
    <t>ВМПЭ-10 с приводом ПЭ-1  6 яч.39 3Т,41,42,44,     ВМГ-133 с приводом ПС-10   6 яч.2,4,5,13,18,24,28,30,33</t>
  </si>
  <si>
    <t>HB010281</t>
  </si>
  <si>
    <t>ПС 35 кВ СТ</t>
  </si>
  <si>
    <t>Ремонт освещения</t>
  </si>
  <si>
    <t>Монтаж системы отопления</t>
  </si>
  <si>
    <t xml:space="preserve">ЗРУ-6 </t>
  </si>
  <si>
    <t>ОПУ,ЗРУ 6</t>
  </si>
  <si>
    <t>HB010502</t>
  </si>
  <si>
    <t>ПС 35 кВ Трампарк</t>
  </si>
  <si>
    <t xml:space="preserve">1Т, 2Т </t>
  </si>
  <si>
    <t>ПС 35 кВ Эмальзавод</t>
  </si>
  <si>
    <t>HB010387</t>
  </si>
  <si>
    <t xml:space="preserve">В 6 1Т, яч.2,24,28      </t>
  </si>
  <si>
    <t>ПС 110 кВ Восточная</t>
  </si>
  <si>
    <t>HB004164</t>
  </si>
  <si>
    <t>1Т типа ТДТН-110/35/6 кВ 25000кВА</t>
  </si>
  <si>
    <t>HB010444</t>
  </si>
  <si>
    <t>Замена ОПН, разрядников 0 кВ</t>
  </si>
  <si>
    <t>2Т типа РВС-110 на ОПН-110 типа ОПНп-110/680/84-10-III УХЛ1</t>
  </si>
  <si>
    <t>2Т типа РВС-35 на ОПН-35 типа ОПНп-35/680/40,5-10-III УХЛ1</t>
  </si>
  <si>
    <t>2Т типа РВС-35+15 на ОПН-35 типа ОПНп-110/680/56-10-III УХЛ1</t>
  </si>
  <si>
    <t>2Т типа РВП-6  на ОПН-6 типа ОПНп-6/680/7,2-10-IV УХЛ1</t>
  </si>
  <si>
    <t>HB010381</t>
  </si>
  <si>
    <t>В 6 яч.28,36</t>
  </si>
  <si>
    <t>1,2ТСН типа ТМ-250/6 кВ</t>
  </si>
  <si>
    <t>1,2ТН типа НКФ-110</t>
  </si>
  <si>
    <t>В 6 яч.29</t>
  </si>
  <si>
    <t>ПС 110 кВ Горький</t>
  </si>
  <si>
    <t>HB010340</t>
  </si>
  <si>
    <t>1Т,2Т</t>
  </si>
  <si>
    <t>МКП-110     В 110 С-3,   С-4,   СВ 110</t>
  </si>
  <si>
    <t>разрядники 1Т,2Т типа РВС-35 на ОПН-35 типа ОПНп-35/680/40,5-10-III УХЛ1</t>
  </si>
  <si>
    <t>разрядники 1Т,2Т типа РВС-35+15 на ОПН-35 типа  ОПНп-110/680/56-10-III УХЛ1</t>
  </si>
  <si>
    <t>ВМПЭ-10 с приводом ПЭ-1  СВ 6,В 6 2Т, ВМГ-133 с приводом ПС-10   В 6 яч.19,35,36</t>
  </si>
  <si>
    <t>НВ010393</t>
  </si>
  <si>
    <t>ПС 110 кВ КАФ</t>
  </si>
  <si>
    <t>ТН 110 1с,2с</t>
  </si>
  <si>
    <t xml:space="preserve">1,   2ТСН 6 </t>
  </si>
  <si>
    <t>1Т,2Т типа РВС-35+15 на ОПН-35 типа  ОПНп-110/680/56-10-III УХЛ1</t>
  </si>
  <si>
    <t>ВМПЭ-10    В 6 яч. СВ 6,В 6 1Т,2Т,яч.19, яч.22,яч.35</t>
  </si>
  <si>
    <t>HB010342</t>
  </si>
  <si>
    <t>ПС 110 кВ Корфовская</t>
  </si>
  <si>
    <t>Ремонт выключателей 6-10  кВ</t>
  </si>
  <si>
    <t>МКП-110    В 110 С-23</t>
  </si>
  <si>
    <t>В 35 1Т,2Т,СВ 35,Т-41</t>
  </si>
  <si>
    <t>1ТСН-10,2ТСН-10</t>
  </si>
  <si>
    <t>В 6 яч.13,15</t>
  </si>
  <si>
    <t>HB010342
HB010314</t>
  </si>
  <si>
    <t>ПС 110 кВ МЖК</t>
  </si>
  <si>
    <t>НВ010385
НВ010386</t>
  </si>
  <si>
    <t>Ремонт ОПН, разрядников 0 кВ</t>
  </si>
  <si>
    <t>1Т, 2Т</t>
  </si>
  <si>
    <t>РВС-35+15   1Т, 2Т</t>
  </si>
  <si>
    <t>ОД-110М  1Т, ОД-110М  2Т</t>
  </si>
  <si>
    <t>КЗ-110  1Т, КЗ-110  2Т</t>
  </si>
  <si>
    <t>ВМПЭ-10 с приводом ПЭ-11   в 6 яч.32,40, ВМПЭ-10 с приводом ПЭ-11   в 6 яч.16,20</t>
  </si>
  <si>
    <t>ПС 110 кВ Ц</t>
  </si>
  <si>
    <t>HB010284
HB010366
HB010352</t>
  </si>
  <si>
    <t>МКП-35    В 35 1Т,2Т,СВ 35,Т-9,Т-10</t>
  </si>
  <si>
    <t>ВМГ-133 с приводом ПС-10   В 6 яч.20</t>
  </si>
  <si>
    <t>HB010390</t>
  </si>
  <si>
    <t>ПС 110 кВ НПЗ</t>
  </si>
  <si>
    <t>2ТСН типа ТМ-160/6 кВ.</t>
  </si>
  <si>
    <t>В 6 яч.26 2СВ 6, яч.11</t>
  </si>
  <si>
    <t>HB010394
HB010309</t>
  </si>
  <si>
    <t>1ТСН-6, 2ТСН-6</t>
  </si>
  <si>
    <t>НВ010309
НВ010394</t>
  </si>
  <si>
    <t>В 6 яч.20,26,35</t>
  </si>
  <si>
    <t>Замена ОПН, разрядников 6 кВ</t>
  </si>
  <si>
    <t>разрядник 1Т типа РВС-35+15 на ОПН-35 типа   ОПНп-110/680/56-10-III УХЛ1, 2Т типа РВС-35+15 на ОПН-35 типа   ОПНп-110/680/56-10-III УХЛ1</t>
  </si>
  <si>
    <t>разрядник 1Т типа РВП-6  на ОПН-6 типа ОПНп-6/680/7,2-10-IV УХЛ1, 2Т типа РВП-6  на ОПН-6 типа ОПНп-6/680/7,2-10-IV УХЛ1</t>
  </si>
  <si>
    <t>НВ010344</t>
  </si>
  <si>
    <t>ПС 110 кВ Южная</t>
  </si>
  <si>
    <t>В 6 яч.4</t>
  </si>
  <si>
    <t>HB010304
HB010307
HB010345</t>
  </si>
  <si>
    <t>В 110 С-2,С-12</t>
  </si>
  <si>
    <t>НВ010399</t>
  </si>
  <si>
    <t>ПС 110 кВ ЮМР</t>
  </si>
  <si>
    <t>В 6 яч.1тсн1,13,23,35тсн2</t>
  </si>
  <si>
    <t>НВ010399
НВ010406</t>
  </si>
  <si>
    <t>ТФЗМ-110Б-1   ТТ 110 1Т,ТТ 110 2Т</t>
  </si>
  <si>
    <t>1ТСН 6,2ТСН 6</t>
  </si>
  <si>
    <t>2Т</t>
  </si>
  <si>
    <t xml:space="preserve">НВ010928   </t>
  </si>
  <si>
    <t xml:space="preserve">Зарастание трассы ВЛ </t>
  </si>
  <si>
    <t>СЛ</t>
  </si>
  <si>
    <t>HB009930</t>
  </si>
  <si>
    <t>по состоянию</t>
  </si>
  <si>
    <t>разрушение изоляции</t>
  </si>
  <si>
    <t>оп. № 9, 20, 21, 23, 25</t>
  </si>
  <si>
    <t>шт</t>
  </si>
  <si>
    <t>НВ010003</t>
  </si>
  <si>
    <t xml:space="preserve"> ВЛ 110 кВ Князе-Волконское-Елабуга (C-50)</t>
  </si>
  <si>
    <t>оп. № 1-16, 22</t>
  </si>
  <si>
    <t>установка ПЗУ</t>
  </si>
  <si>
    <t>HB009996</t>
  </si>
  <si>
    <t>ВЛ 110 кВ Сита – Обор (С-33)</t>
  </si>
  <si>
    <t>пр.оп. № 62-63</t>
  </si>
  <si>
    <t>установка ремонтного зажима</t>
  </si>
  <si>
    <t xml:space="preserve">НВ010004 </t>
  </si>
  <si>
    <t xml:space="preserve">Наличие дефектной изоляции </t>
  </si>
  <si>
    <t>оп. 4,7,62, 18, 45, 16, 28, 87, 5, 7, 9, 16, 17</t>
  </si>
  <si>
    <t xml:space="preserve">Повреждение верхнего повива провода, разрыв сварочного контактного соединения </t>
  </si>
  <si>
    <t xml:space="preserve">пр.оп. № № 9-10, 38-39, </t>
  </si>
  <si>
    <t>Установка ремонтного зажима</t>
  </si>
  <si>
    <t xml:space="preserve">Смещение ГВН на проводе </t>
  </si>
  <si>
    <t>оп. № 5, 28</t>
  </si>
  <si>
    <t>переустановка ГВН</t>
  </si>
  <si>
    <t xml:space="preserve">Оторван поводок грозотроса </t>
  </si>
  <si>
    <t>оп. № 10</t>
  </si>
  <si>
    <t>монтаж плашечного зажима на грозотросе</t>
  </si>
  <si>
    <t xml:space="preserve">С траверсы  опоры сорван ВОЛС </t>
  </si>
  <si>
    <t>оп. № 38</t>
  </si>
  <si>
    <t>перепление провода ВОЛС</t>
  </si>
  <si>
    <t>НВ010034</t>
  </si>
  <si>
    <t>пр.оп. №5-26</t>
  </si>
  <si>
    <t>3.1.</t>
  </si>
  <si>
    <t>обрезка крон деревьев</t>
  </si>
  <si>
    <t>НВ011049</t>
  </si>
  <si>
    <t xml:space="preserve">Пр.оп. № 104/2-104/6 </t>
  </si>
  <si>
    <t xml:space="preserve">НВ011066  </t>
  </si>
  <si>
    <t>оп. №№ 1, 2, 5.</t>
  </si>
  <si>
    <t>выправка опор</t>
  </si>
  <si>
    <t>пр.оп. №1-2, 3-5, 6-7, 8-9, 9/1-9/5</t>
  </si>
  <si>
    <t>НВ011066</t>
  </si>
  <si>
    <t>оп. № 7,8,13,19,20,26</t>
  </si>
  <si>
    <t xml:space="preserve">пр.оп.№ 2-7, 9-10, 15-16, 19-22, 26-26/4 </t>
  </si>
  <si>
    <t xml:space="preserve">НВ010913  </t>
  </si>
  <si>
    <t>оп. №10, 43, 55, 59, 63, 68, 70,74</t>
  </si>
  <si>
    <t>замена изоляторов</t>
  </si>
  <si>
    <t>пр.оп. № № 11-12, 14-17, 38-39, 40-42, 43-49, 51-52</t>
  </si>
  <si>
    <t>пр.оп. № № 4-17, 30-37, 52-53</t>
  </si>
  <si>
    <t xml:space="preserve">НВ011059 </t>
  </si>
  <si>
    <t>оп. № 15/9</t>
  </si>
  <si>
    <t xml:space="preserve">НВ011073 </t>
  </si>
  <si>
    <t>оп.№ 72/1</t>
  </si>
  <si>
    <t>НВ009443</t>
  </si>
  <si>
    <t>оп. №44</t>
  </si>
  <si>
    <t>оп. № 2/1, 3</t>
  </si>
  <si>
    <t>НВ008235</t>
  </si>
  <si>
    <t>пр. оп. №1-10; 16-23</t>
  </si>
  <si>
    <t>ручная расчистка</t>
  </si>
  <si>
    <t>НВ008434</t>
  </si>
  <si>
    <t>оп. № 1 , 2</t>
  </si>
  <si>
    <t>Замена опоры</t>
  </si>
  <si>
    <t>пр.оп. № 17-21, 24-27.</t>
  </si>
  <si>
    <t>оп. №22, 23</t>
  </si>
  <si>
    <t>шт,</t>
  </si>
  <si>
    <t>пр.оп. №32-36</t>
  </si>
  <si>
    <t>оп. №24, 46</t>
  </si>
  <si>
    <t xml:space="preserve">пр.оп. № 32-36  </t>
  </si>
  <si>
    <t>НВ008235
НВ008761</t>
  </si>
  <si>
    <t>НВ008240</t>
  </si>
  <si>
    <t>оп.№1</t>
  </si>
  <si>
    <t>замена опор</t>
  </si>
  <si>
    <t>оп.№2</t>
  </si>
  <si>
    <t>НВ008443</t>
  </si>
  <si>
    <t>HB008275</t>
  </si>
  <si>
    <t xml:space="preserve">пр. оп. №№13/1-13/19,13а-24  </t>
  </si>
  <si>
    <t>HB008766
HB035960</t>
  </si>
  <si>
    <t xml:space="preserve">оп.№14-45  </t>
  </si>
  <si>
    <t>оп.№112</t>
  </si>
  <si>
    <t xml:space="preserve">пр. оп. №13а-23  </t>
  </si>
  <si>
    <t xml:space="preserve">пр.оп.№№ 25-33, 29-29/6, 51-64, 75-85  </t>
  </si>
  <si>
    <t>HB008451</t>
  </si>
  <si>
    <t xml:space="preserve">пр. оп.№ 10-12/1, 12/1-12/1/1, 12/1-12/4, 33-38, 48-50, 63-66, 87-88   </t>
  </si>
  <si>
    <t xml:space="preserve">пр.оп.№25-33 </t>
  </si>
  <si>
    <t xml:space="preserve">пр.оп.№ 10-12/1, 12/1-12/1/1, 12/1-12/4, 33-38, 48-50, 63-66, 87-88   </t>
  </si>
  <si>
    <t>HB008429
HB036018</t>
  </si>
  <si>
    <t xml:space="preserve">оп.№ 4/11/1-4/11/8,4/12-4/29  </t>
  </si>
  <si>
    <t>оп.№4/1</t>
  </si>
  <si>
    <t>HB008425
HB036074</t>
  </si>
  <si>
    <t xml:space="preserve">пр.оп.№ 13-34  </t>
  </si>
  <si>
    <t>HB008222</t>
  </si>
  <si>
    <t xml:space="preserve">оп. № 179/3   </t>
  </si>
  <si>
    <t xml:space="preserve">пр.оп. № № 118-119, 139-140,152-153, 169-177 </t>
  </si>
  <si>
    <t>оп. № 151,152</t>
  </si>
  <si>
    <t>3.2.</t>
  </si>
  <si>
    <t>КЛ 6-10 кВ</t>
  </si>
  <si>
    <t>HB008533</t>
  </si>
  <si>
    <t>монтаж муфт</t>
  </si>
  <si>
    <t>HB008347</t>
  </si>
  <si>
    <t>HB008346</t>
  </si>
  <si>
    <t>ВРЭС ГУ</t>
  </si>
  <si>
    <t>оп. № 13, 14, 15, 16, 17, 17/1, 17/2, 17/1/1, 18, 19/1, 20, 20/1, 22/1, 22/1/1</t>
  </si>
  <si>
    <t xml:space="preserve">замена опор </t>
  </si>
  <si>
    <t xml:space="preserve">ВЛ 0,4 кВ Ф-2 ТП-1007 г. Вяземский </t>
  </si>
  <si>
    <t>оп. №2/1, 2/2, 2/3, 2/4, 2/5, 2/6, 2/8, 2/10, 2/12, 2/1/1, 2/1/1/1, 2/1/2, 2/1/3, 2/1/4, 2/1/5</t>
  </si>
  <si>
    <t>пр.оп. №2-2/12, 2-2/1/6, 2/1/1-2/1/1/1, 2/1/3-2/1/3/1</t>
  </si>
  <si>
    <t>демонтаж провода (по трассе)</t>
  </si>
  <si>
    <t>оп. №2-2/12, 2-2/1/6, 2/1/1-2/1/1/1, 2/1/3-2/1/3/1</t>
  </si>
  <si>
    <t>монтаж провода (по трассе)</t>
  </si>
  <si>
    <t xml:space="preserve">2/2(2 ввода), 2/5, 2/6, 2/11, 2/1/1/1, 
2/1/3(2 ввода)
</t>
  </si>
  <si>
    <t>отв.</t>
  </si>
  <si>
    <t>HB010049</t>
  </si>
  <si>
    <t>ВЛ 0,4 кВ Ф-1 ТП-926 с. Капитоновка</t>
  </si>
  <si>
    <t>оп. №20/1</t>
  </si>
  <si>
    <t>пр.оп. № №1-26</t>
  </si>
  <si>
    <t>№10-11,10/3-10/4,14-15,18-20</t>
  </si>
  <si>
    <t>HB010053</t>
  </si>
  <si>
    <t xml:space="preserve">ВЛ 0,4 кВ Ф-6 ТП-828 с. Аван </t>
  </si>
  <si>
    <t xml:space="preserve">оп. №7,9/4,11,17/2,21/1,21/3, 2, 8,9/5,9/6,11/1,11/4,11/5,12,
14,17/1/,17/3,19,20,21,22,24  </t>
  </si>
  <si>
    <t>пр.оп. № №1-27,9-9/7;11-11/7;17-17/3;7-7/1</t>
  </si>
  <si>
    <t xml:space="preserve">оп. № 9/7,11/1,11/3,11/4,11/5,12,15,17/2,
17/3,18,20,21,21/1,21/2,21/3,24,
25/1
</t>
  </si>
  <si>
    <t>оп.№ 10-11,17-20, 22,28-29</t>
  </si>
  <si>
    <t>НВ009373</t>
  </si>
  <si>
    <t xml:space="preserve">оп.№1-5 </t>
  </si>
  <si>
    <t>переустановка опор</t>
  </si>
  <si>
    <t>оп.№6</t>
  </si>
  <si>
    <t>демонтаж опор</t>
  </si>
  <si>
    <t>оп.№3</t>
  </si>
  <si>
    <t>переустановка укосса</t>
  </si>
  <si>
    <t>оп.№5</t>
  </si>
  <si>
    <t xml:space="preserve">пр.оп.№1-5 </t>
  </si>
  <si>
    <t>НВ009143</t>
  </si>
  <si>
    <t xml:space="preserve">оп. №№ 1-3, 1-1/3 </t>
  </si>
  <si>
    <t>оп.№ 3, 1/3</t>
  </si>
  <si>
    <t xml:space="preserve">пр.оп. № 1-3, 1-1/3 </t>
  </si>
  <si>
    <t>НВ008755</t>
  </si>
  <si>
    <t>ВЛ 0,4кВ Ф-4 ТП-0138 с. Корсаково -1</t>
  </si>
  <si>
    <t>оп.№ 1/2,1/3</t>
  </si>
  <si>
    <t xml:space="preserve">оп.№ № 1/1,1/2,1/3 </t>
  </si>
  <si>
    <t>пр.оп.№ 1-1/3</t>
  </si>
  <si>
    <t>СМиТ</t>
  </si>
  <si>
    <t>НВ036982</t>
  </si>
  <si>
    <t>HB008726</t>
  </si>
  <si>
    <t>HB008729</t>
  </si>
  <si>
    <t>НВ008853</t>
  </si>
  <si>
    <t>HB031219</t>
  </si>
  <si>
    <t>HB038989</t>
  </si>
  <si>
    <t>НВ00000000</t>
  </si>
  <si>
    <t>СТЭ</t>
  </si>
  <si>
    <t xml:space="preserve">АИИС Северного РЭС </t>
  </si>
  <si>
    <t>РиМ 489.18</t>
  </si>
  <si>
    <t>замена/установка электросчетчиков РиМ</t>
  </si>
  <si>
    <t>Неисправность приборов учета Меркурий 230 ART-00 (ошибка Е-01 + истечение срока МПИ)</t>
  </si>
  <si>
    <t>Меркурий 234 ARTM-00 PB.R</t>
  </si>
  <si>
    <t>установка электросчетчиков Меркурий</t>
  </si>
  <si>
    <t>CE308 C36.746.OPR1.QYDVF RP03 DLP и СЕ805М EXT1</t>
  </si>
  <si>
    <t>РиМ 489.02.ВК3 и РиМ 489.13 и РиМ 489.14</t>
  </si>
  <si>
    <t>замена электросчетчиков РиМ</t>
  </si>
  <si>
    <t>РиМ- 099.02</t>
  </si>
  <si>
    <t>замена маршрутизаторов РиМ</t>
  </si>
  <si>
    <t>ПС 35 кВ Бычиха</t>
  </si>
  <si>
    <t>Замена трансформаторов тока 6-10 кВ</t>
  </si>
  <si>
    <t>ПС 35 кВ Смирновка</t>
  </si>
  <si>
    <t>ТП-3633</t>
  </si>
  <si>
    <t>HB009951</t>
  </si>
  <si>
    <t>вырубка угрожающих деревьев</t>
  </si>
  <si>
    <t xml:space="preserve">HB009956 </t>
  </si>
  <si>
    <t>ВЛ 110 кВ Южная – Хехцир №1,2 (С-13/С-14)</t>
  </si>
  <si>
    <t>механизированная расчистка</t>
  </si>
  <si>
    <t>HB010003</t>
  </si>
  <si>
    <t xml:space="preserve">пр.оп. № 116-117,  117-18 </t>
  </si>
  <si>
    <t>HB009955</t>
  </si>
  <si>
    <t xml:space="preserve">HB009943 </t>
  </si>
  <si>
    <t>обваловка опор</t>
  </si>
  <si>
    <t>HB009963</t>
  </si>
  <si>
    <t>оп.№2-6</t>
  </si>
  <si>
    <t>окраска металлических опор</t>
  </si>
  <si>
    <t>HB009977</t>
  </si>
  <si>
    <t>пр.оп.№ 1-2,  2-3, 3-4,  4-5, 11-12, 5-6, 6-7, 7-8,8-9, 9-10, 10-11, 12-портал ПС СРЗ, банкетки: оп.№ 1,2,4,10,11,12,5</t>
  </si>
  <si>
    <t>расчистка вручную</t>
  </si>
  <si>
    <t xml:space="preserve">вырубка угрожающих деревьев </t>
  </si>
  <si>
    <t xml:space="preserve">обваловка опор </t>
  </si>
  <si>
    <t>пр.оп.№ 2-3, 3-4,  4-5,  5-6, 6-7, 7-8, 8-9, 9-10, 10-11, 11-12, 12-13, 13-14, банкетки: оп.№ 2,5,7,4,10,11,12,13,8,9</t>
  </si>
  <si>
    <t>пр.оп.№ 1-2, 2-3, 4-5, 7-8, 8-9, 9-10, 10-11, 12-13</t>
  </si>
  <si>
    <t>HB009929</t>
  </si>
  <si>
    <t>пр.оп.№ 14-15, 15-16, 16-17, 17-18, 19-20, 20-21, 21-22, 23-24, 24-25, 27-28, банкетки: оп.№20,17,19,22,28,15,16,21,24</t>
  </si>
  <si>
    <t>пр.оп.№ 18-19, 22-23, 23-24, 24-25</t>
  </si>
  <si>
    <t>HB009984</t>
  </si>
  <si>
    <t>оп.№ 3,10,15,17,18,19,20,21,22,23</t>
  </si>
  <si>
    <t>оп.№ 30, 6</t>
  </si>
  <si>
    <t>монтаж шлейфа грозотроса</t>
  </si>
  <si>
    <t>оп.№ 30, 6, 4, 17, 27, 28, 5</t>
  </si>
  <si>
    <t xml:space="preserve">замена  дефектной изоляции </t>
  </si>
  <si>
    <t>оп.№ 40, 41, 42, 43, 44, 45, 46, 47, 48, 49, 50</t>
  </si>
  <si>
    <t>HB010202</t>
  </si>
  <si>
    <t>оп.№ 37, 38, 39, 40, 41, 42, 43, 44, 45, 46, 47</t>
  </si>
  <si>
    <t>HB010588</t>
  </si>
  <si>
    <t>оп.№ 143, 144, 145, 146, 147, 148, 149, 150, 151, 152, 153, 154, 155, 156, 157, 158, 159, 160, 177, 178, 179, 180, 181, 182, 183, 184, 185, 186, 187, 188, 189, 190, 191, 192, 193, 194, 215, 216, 217, 218, 219, 220, 221, 222, 223, 225, 226, 224, 227</t>
  </si>
  <si>
    <t xml:space="preserve">пр.оп.№ 143 - 160, 177 – 194, 215 - 227 </t>
  </si>
  <si>
    <t>монтаж опор</t>
  </si>
  <si>
    <t xml:space="preserve">пр.оп.№ 143 - 158, 177 – 186, 189 – 194, 215 - 227 </t>
  </si>
  <si>
    <t xml:space="preserve">HB010563 </t>
  </si>
  <si>
    <t>демонтаж опор 49шт, демонтаж провода (по трассе) 3,15км, монтаж опор 49шт, монтаж провода (по трассе) 3,15км, обваловка опор 47шт</t>
  </si>
  <si>
    <t>оп.№ 126,130,127, 128, 129, 135, 136, 137 , 138, 139, 140, 141, 142, 143, 144, 145, 146, 147, 148, 149, 150, 165, 166, 167, 168, 169, 170, 171, 172, 173, 174, 175, 176, 177, 178, 179, 196, 197, 198, 199, 200, 202, 203, 204, 205, 201, 206, 207, 208</t>
  </si>
  <si>
    <t xml:space="preserve">пр.оп.№ 126 - 130, 135 - 150, 165 - 179 , 196 - 208, 196 – 208 </t>
  </si>
  <si>
    <t>пр.оп.№ 126 - 130, 135 - 150,  165 – 179, 196 - 206</t>
  </si>
  <si>
    <t>пр.оп.№138-160</t>
  </si>
  <si>
    <t>монтаж кабеля</t>
  </si>
  <si>
    <t>HB009082</t>
  </si>
  <si>
    <t xml:space="preserve">НВ010909 </t>
  </si>
  <si>
    <t>демонтаж ответвлений</t>
  </si>
  <si>
    <t>монтаж ответвлений</t>
  </si>
  <si>
    <t xml:space="preserve">ВЛ 0,4 кВ Ф-1 ТП-1771 г. Вяземский </t>
  </si>
  <si>
    <t>демонтаж опор 48шт, монтаж опор 60шт, демонтаж провода (по трассе) 2,816км, монтаж провода (по трассе) 2,87км, демонтаж ответвлений 52шт, монтаж ответвлений 53шт, установка укосов 2шт, обрезка крон деревьев 14шт, вырубка угрожающих деревьев 18шт</t>
  </si>
  <si>
    <t>оп.№3/1, 3/2, 6, 7, 7/1, 8/1, 8/1А, 8/2, 8/3А, 8/4, 8/4А, 8/5, 8/1/1, 8/1/1/1, 8/1/2, 8/1/2/1, 8/1/3, 8/1/3/1, 8/1/4, 8/1/5, 8/1/5/1, 8/1/6, 8/1/7, 9, 11, 11/2, 11/2/1, 11/3, 11/3/1, 11/5, 11/5/1, 11/1/1, 11/1/2, 11/1/2А, 11/1/3, 11/1/4, 11/1/5, 11/1/6, 11/1/7, 12/1, 15, 5/1, 5/2, 5/3, 8/3, 11/1, 11/4,</t>
  </si>
  <si>
    <t>оп.№3, 4/1, 6, 7/1, 7/2, 7/3, 7/3/1, 8, 9, 10, 11, 11/1, 12/1, 12/1А, 12/2, 12/3, 13/3А, 12/4, 12/5, 12/5А, 12/7, 12/1/1, 12/1/2, 12/1/2А, 12/1/3, 12/1/4, 12/1/4А, 12/1/5, 12/1/5А, 12/1/6, 12/1/7, 12/1/7А, 12/1/8, 13, 15, 15/1, 15/2, 15/2А, 15/3, 15/3А, 15/4, 15/6, 15/1/2, 15/1/2А, 15/1/3, 15/1/4, 15/1/4А, 15/1/5, 15/1/6, 15/1/7, 15/1/9, 16/1, 19, 4/1/1, 7/4, 12/6, 12/1/9, 15/5, 15/1/1, 15/1/8</t>
  </si>
  <si>
    <t>пр.оп.№ От РУ-0,4 кВ до оп. №1, 1-14, 11-11/3, 7-7/1, 8-8/5, 8/1-8/1А, 8/3-8/3А, 8/4-8/4А, 8-8/1/7, 8/1/1-8/1/1/1, 8/1/2-8/1/2/1, 8/1/3-8/1/3/1, 8/1/5-8/1/5/1, 11/3-11/5/1, 11/2-11/2/1, 11/3-11/3/1, 11-11/1/7, 11/1/2-11/1/2А, 11/1/3-11/1/3А, 12-12/1, 3-3/2, 5-5/3, 14-15</t>
  </si>
  <si>
    <t>пр.оп.№ От РУ-0,4 кВ до оп. № 1 и далее по оп. №1-18, 4-4/1/1, 4/1+4/4, 7-7/4, 7/3-7/3/1, 11-11/1, 12-12/7, 12/1-12/1А, 12/3-12/3А, 12/5-12/5А, 12-12/1/9, 12/1/2-12/1/2А, 12/1/4-12/1/4А, 12/1/5-12/1/5А, 12/1/7-12/1/7А, 15-15/6, 15/2-15/2А, 15/3-15/3А, 15-15/1/9, 15/1/2-15/1/2А, 15/1/4-15/1/4А, 16-16/1, 18-19</t>
  </si>
  <si>
    <t>оп.№3, 4, 6, 7, 8/1/1/1, 8/1/2/1, 8/1/3, 8/1/5, 8/1/5/1, 8/1/7, 8/1, 8/2, 8/3А, 8/4А, 8/5, 11/2/1, 11/3, 11/3/1(2ввода), 11/4, 11/5, 11/1/2, 11/1/3А, 11/1/4, 11/5/1, 3/2, 5, 8/1А, 8/3, 8/1/1, 8/1/2, 8/1/3/1, 8/1/6(2ввода), 11/1, 11/3/1, 11/1/1, 11/12А, 11/1/3, 11/1/5, 11/1/7, 12, 15, 14(2ввода), 5/2, 5/3, 7/1</t>
  </si>
  <si>
    <t xml:space="preserve">оп.№4, 5, 9, 11, 12/1, 12/2, 12/3А, 12/5А, 12/7, 12/1/2А, 12/1/4А, 12/1/5, 12/1/7, 12/1/7А, 12/1/9, 15/2А, 15/3, 15/3А(2ввода), 15/4, 15/5, 15/6, 15/1/2, 15/1/2А, 15/1/4А, 15/1/6, 4/1/1, 4/3, 4/4, 7, 12/1А, 12/3, 12/1/2, 12/1/4, 12/1/5А, 12/1/8(2 ввода), 15/1, 15/3А, 15/1/1, 15/1/4, 15/1/7, 15/1/9, 16, 18(2ввода), 19,  7/3, 7/4, 11/1 </t>
  </si>
  <si>
    <t>оп.№4, 18</t>
  </si>
  <si>
    <t>установка укосов</t>
  </si>
  <si>
    <t>НВ008214</t>
  </si>
  <si>
    <t>демонтаж опор 24шт, монтаж опор 25, демонтаж кабеля 0,035км,  демонтаж провода (по трассе) 1км, монтаж провода (по трассе) 0,94км, демонтаж ответвлений 23шт, монтаж ответвлений 36шт</t>
  </si>
  <si>
    <t>оп.№2, 3, 4, 5, 7, 8, 9, 10, 12, 13, 14, 2/2, 2/3, 2/4, 2/5, 7/1, 9/1, 11/1, 12/1, 12/2, 11,  2/1, 2/6, 6</t>
  </si>
  <si>
    <t>оп.№6, 3, 4, 5, 7, 8, 9, 10, 11, 1, 5/1, 12, 2, 2/2-2/12, 2/1, 2/13</t>
  </si>
  <si>
    <t>пр.оп.№ от РУ 0,4 кВ ТП-425 до оп.№1</t>
  </si>
  <si>
    <t>демонтаж кабеля</t>
  </si>
  <si>
    <t>оп.№1-14, 2-2/6, 5-5/1, 7-7/1, 9-9/1, 11-11/1, 12-12/2</t>
  </si>
  <si>
    <t>пр.оп.№ от РУ 0,4 кВ ТП-425 до оп.№1,  оп.№№1- 12; 2-2/13, 5-5/1</t>
  </si>
  <si>
    <t>оп.№5/1, 7, 8, 9, 10, 14, 2/1, 2/2, 2/4, 2/6, 9/1 7/1, 11/1, 12/2, 2, 12, 6</t>
  </si>
  <si>
    <t>оп.№5,6,2,5/1, 7, 8, 9, 10, 2/1, 2/2, 2/3, 2/4, 2,5, 2/6, 2/7, 2/8, 2/9, 2/12, 2/13,5/1, 7, 8, 9, 10, 2/1, 2/2, 2/3, 2/4, 2,5, 2/6, 2/7, 2/8, 2/9,4,12</t>
  </si>
  <si>
    <t>НВ008218</t>
  </si>
  <si>
    <t>ВЛ 0,4 кВ Ф-1,2 ТП-0138 с. Корсаково -1</t>
  </si>
  <si>
    <t>демонтаж опор 20шт, монтаж опор 20шт, демонтаж провода (по трассе) 1,88км, монтаж провода (по трассе) 1,88км, демонтаж ответвлений 37шт, монтаж ответвлений 37шт, обрезка крон деревьев 18шт</t>
  </si>
  <si>
    <t>оп.№ Ф-1: 2/2,15,2/1,6-10,9/1,12-14, Ф-2: 1,3,4,5,22,27-29</t>
  </si>
  <si>
    <t>пр.оп.№ Ф-1: 1-15,2-2/2,11-11/3, Ф-2: № 1-15,2-2/2,11-11/3</t>
  </si>
  <si>
    <t xml:space="preserve">оп.№ Ф-1: 2,2/1,2/2,4,5,79, 11/1,11/2,11/3,12-15,Ф-2:3-5,11,17,22,23,26,27,29,8,12,15,21, 28  </t>
  </si>
  <si>
    <t>оп.№Ф-1: 4-9, Ф-2: 2-6,21-29</t>
  </si>
  <si>
    <t>НВ010875</t>
  </si>
  <si>
    <t>ВЛ 0,4 кВ Ф-1 ТП-528 с. Каменец-Подольск</t>
  </si>
  <si>
    <t>демонтаж опор 27шт, монтаж опор 31шт, демонтаж провода (по трассе) 1,232км, монтаж провода (по трассе) 1,469км, установка укосов 1шт</t>
  </si>
  <si>
    <t>оп.№3, 4, 5, 9, 10, 11, 13, 14, 17, 18, 19, 20, 21, 22, 23, 24, 25, 1/2, 1/3, 1/4, 1/5, 3/1, 5/1, 6/1, 1/1, 1/6, 1, 2, 7, 8, 12, 6, 16</t>
  </si>
  <si>
    <t>оп.№3, 4, 5, 6, 10, 11, 12, 14, 15, 18, 20, 22, 24, 25, 26, 1/2, 1/3,1/4, 1/5, 1/6, 1, 2, 8, 9, 13, 19, 21, 23, 27, 6, 16</t>
  </si>
  <si>
    <t>пр. оп. №3-5, от ТП до оп. 1, пр. оп. 1-3, 1/1-1/7, 3-3/1, 5-5/1, 6-6/1, 6-13, 16-25, 5-6, 13-16</t>
  </si>
  <si>
    <t xml:space="preserve">пр.оп.№ от ТП до оп. №12, от ТП до оп.1/7, 17-17/2, от оп. 12 до оп. 27, 3-3/1, 5-5/1, 6-6/1 </t>
  </si>
  <si>
    <t>оп.№ 15</t>
  </si>
  <si>
    <t>HB010388</t>
  </si>
  <si>
    <t xml:space="preserve">РНДЗ-110/1000 вертикальной установки </t>
  </si>
  <si>
    <t>Разъединитель типа РГН.1-В-110.II/1000 УХЛ1 с изоляцией ИОСПК-10-110/450-II-УХЛ1</t>
  </si>
  <si>
    <t>Разъединитель типа РГН.2-В-110.II/1000 УХЛ1 с изоляцией ИОСПК-10-110/450-II-УХЛ1</t>
  </si>
  <si>
    <t>демонтаж железобетонного свайного фундамента 0,468м3, монтаж сборных железобетонных фундаментов 10шт, демонтаж ограждения 131,2м, монтаж ограждения 131,2м, монтаж железобетонных опор 4шт</t>
  </si>
  <si>
    <t>демонтаж железобетонного свайного фундамента</t>
  </si>
  <si>
    <t>м3</t>
  </si>
  <si>
    <t>монтаж сборных железобетонных фундаментов</t>
  </si>
  <si>
    <t>демонтаж ограждения</t>
  </si>
  <si>
    <t xml:space="preserve">м </t>
  </si>
  <si>
    <t>монтаж ограждения</t>
  </si>
  <si>
    <t>м</t>
  </si>
  <si>
    <t>монтаж железобетонных опор</t>
  </si>
  <si>
    <t>демонтаж железобетонного фундамента 16шт, монтаж сборных железобетонных фундаментов 16шт</t>
  </si>
  <si>
    <t>демонтаж железобетонного фундамента</t>
  </si>
  <si>
    <t>НВ008850</t>
  </si>
  <si>
    <t>Механические мастерские базы СП «ЦЭС»</t>
  </si>
  <si>
    <t>замена кирпичной кладки карниза 4,2м3, замена кирпичной кладки фасада 2м3, демонтаж деревянных заполнений оконных проемов 11,96м2, установка оконных блоков 11,96м2</t>
  </si>
  <si>
    <t>замена кирпичной кладки карниза</t>
  </si>
  <si>
    <t>замена кирпичной кладки фасада</t>
  </si>
  <si>
    <t>демонтаж деревянных заполнений оконных проемов</t>
  </si>
  <si>
    <t>установка оконных блоков</t>
  </si>
  <si>
    <t>замена труб пожарного водопровода 43м</t>
  </si>
  <si>
    <t>замена труб пожарного водопровода</t>
  </si>
  <si>
    <t>НВ008851</t>
  </si>
  <si>
    <t>Автогараж на 20 машин базы СП «ЦЭС»</t>
  </si>
  <si>
    <t>замена труб пожарного водопровода 32м</t>
  </si>
  <si>
    <t xml:space="preserve">НВ000209 </t>
  </si>
  <si>
    <t>Лабораторный корпус управления ЛИТ А</t>
  </si>
  <si>
    <t>замена водосточной системы 64м</t>
  </si>
  <si>
    <t>замена водосточной системы</t>
  </si>
  <si>
    <t xml:space="preserve">Здание ЗТП-1005 г. Вяземский   </t>
  </si>
  <si>
    <t>устройство односкатной кровли 41,5м2, устройство бетонной отмостки 3,67м3, устройство бетонной стяжки пола 12,5м2</t>
  </si>
  <si>
    <t>устройство односкатной кровли</t>
  </si>
  <si>
    <t>устройство бетонной отмостки</t>
  </si>
  <si>
    <t>устройство бетонной стяжки пола</t>
  </si>
  <si>
    <t xml:space="preserve">Здание ЗТП-1008 г. Вяземский     </t>
  </si>
  <si>
    <t>устройство односкатной кровли 63м2, устройство бетонной отмостки 4,59м3, разборка железобетонного пола 7,2м2, устройство бетонной стяжки пола 7,2м2</t>
  </si>
  <si>
    <t>разборка железобетонного пола</t>
  </si>
  <si>
    <t xml:space="preserve">Здание ЗТП-1701 г. Вяземский     </t>
  </si>
  <si>
    <t>устройство односкатной кровли 21,84м2, устройство бетонной отмостки 2,43м3, разборка железобетонного пола 6м2, устройство бетонной стяжки пола 6м2</t>
  </si>
  <si>
    <t xml:space="preserve">НВ010120 </t>
  </si>
  <si>
    <t>ПС 35кВ Капитоновка</t>
  </si>
  <si>
    <t>демонтаж сетчатого ограждения 106м, монтаж сетчатого ограждения 106м</t>
  </si>
  <si>
    <t>демонтаж сетчатого ограждения</t>
  </si>
  <si>
    <t>монтаж сетчатого ограждения</t>
  </si>
  <si>
    <t xml:space="preserve">НВ010078 </t>
  </si>
  <si>
    <t>демонтаж сетчатого ограждения 208м, монтаж сетчатого ограждения 208м</t>
  </si>
  <si>
    <t>НВ010533</t>
  </si>
  <si>
    <t>Административное здание база ГРЭС</t>
  </si>
  <si>
    <t>замена труб отопления 174м</t>
  </si>
  <si>
    <t>замена труб отопления</t>
  </si>
  <si>
    <t>ремонт напольного покрытия</t>
  </si>
  <si>
    <t>ремонт стен</t>
  </si>
  <si>
    <t>устройство навесного потолка</t>
  </si>
  <si>
    <t>замена оконных проемов</t>
  </si>
  <si>
    <t>ремонт напольного покрытия 20,2м2, ремонт стен 50,6м2, ремонт потолка 20,2м2, замена оконных проемов 2,85м2</t>
  </si>
  <si>
    <t>ремонт потолка</t>
  </si>
  <si>
    <t>ремонт напольного покрытия 19,26м2, ремонт стен 50,5м2, ремонт потолка 19,26м2</t>
  </si>
  <si>
    <t>ремонт напольного покрытия 15,8м2, ремонт стен 46,5м2, ремонт потолка 15,8м2, замена оконных проемов 2,85м2</t>
  </si>
  <si>
    <t>ремонт напольного покрытия 19,98м2, ремонт стен 49,6м2, устройство навесного потолка 19,98м2</t>
  </si>
  <si>
    <t>Кабинет мастеров СРЭС</t>
  </si>
  <si>
    <t>устройство навесного потолка 22,7м2</t>
  </si>
  <si>
    <t>Кабинет ОВБ СРЭС</t>
  </si>
  <si>
    <t>ремонт напольного покрытия 11,63м2, ремонт потолка 11,6м2, ремонт стен 41,3м2</t>
  </si>
  <si>
    <t>Раздевалка СРЭС</t>
  </si>
  <si>
    <t>ремонт напольного покрытия 67м2, ремонт потолка 67м2, ремонт стен 88,2м2</t>
  </si>
  <si>
    <t>EO0002066</t>
  </si>
  <si>
    <t>Замена проходных изоляторов - 3 шт, замена опорных изоляторов - 30 шт, замена РВС на ОПН - 3 шт,  замена рубильников - 3 шт, замена предохранителя - 3 шт., замена разъединителя - 1 шт.</t>
  </si>
  <si>
    <t>Замена проходных изоляторов - 3 шт, замена опорных изоляторов - 18 шт, замена РВС на ОПН - 3 шт,  замена рубильников - 2 шт, замена предохранителя - 3 шт., замена разъединителя - 1 шт., установка ОПН - 1 шт.</t>
  </si>
  <si>
    <t>Замена опорных изоляторов - 3 шт, замена РВС на ОПН - 3 шт,  замена автоматического выключатели - 3 шт, замена предохранителя - 3 шт., замена ОПН 0,4 - 3 шт.</t>
  </si>
  <si>
    <t>Замена опорных изоляторов - 12 шт, замена проходных изоляторов - 6 шт,замена РВС на ОПН - 3 шт,  замена рубильника - 3 шт, установка рубильника - 1 шт,ремонт разъединителя - 1шт, замена предохранителя - 3 шт., замена ОПН 0,4 - 3 шт.</t>
  </si>
  <si>
    <t>HB009286</t>
  </si>
  <si>
    <t xml:space="preserve">ТП-235 г. Хабаровск </t>
  </si>
  <si>
    <t xml:space="preserve">1Т ТМ-400/6  </t>
  </si>
  <si>
    <t>Чистка помещений отсек РУ 0,4; РУ 6 - 10м2</t>
  </si>
  <si>
    <t>HB009210</t>
  </si>
  <si>
    <t xml:space="preserve">ТП-251 с. Мирное </t>
  </si>
  <si>
    <t xml:space="preserve">1Т ТМ-630/10  </t>
  </si>
  <si>
    <t>Чистка помещений  - 10м2</t>
  </si>
  <si>
    <t xml:space="preserve">ТП-254 с. Сергеевка  </t>
  </si>
  <si>
    <t xml:space="preserve">1Т ТМ-400/10  </t>
  </si>
  <si>
    <t>HB009697</t>
  </si>
  <si>
    <t xml:space="preserve">ТП-2099 с. Сергеевка </t>
  </si>
  <si>
    <t xml:space="preserve">ТП-2100 с. Сергеевка </t>
  </si>
  <si>
    <t>HB008700</t>
  </si>
  <si>
    <t xml:space="preserve">ТП-0040  п. Осиновая речка </t>
  </si>
  <si>
    <t>НВ008551</t>
  </si>
  <si>
    <t>ТП-3632 с. Некрасовка</t>
  </si>
  <si>
    <t>630/10 №23557 1982г. , ТМ-630/10 №7622 1978г</t>
  </si>
  <si>
    <t>демонтаж/монтаж ТМ</t>
  </si>
  <si>
    <t>НВ008553</t>
  </si>
  <si>
    <t xml:space="preserve">ТП-0023 с.Некрасовка </t>
  </si>
  <si>
    <t>1Т ТМ-160/10</t>
  </si>
  <si>
    <t>НВ008678</t>
  </si>
  <si>
    <t xml:space="preserve">ТП-0031 с.Некрасовка </t>
  </si>
  <si>
    <t xml:space="preserve">1Т ТМ-250/10  </t>
  </si>
  <si>
    <t>НВ008568</t>
  </si>
  <si>
    <t xml:space="preserve">ТП-0051 с.Ракитное </t>
  </si>
  <si>
    <t>1Т ТМ-315/10</t>
  </si>
  <si>
    <t>НВ008667
НВ008167</t>
  </si>
  <si>
    <t xml:space="preserve">ТП-0090 с. Некрасовка </t>
  </si>
  <si>
    <t>1Т ТМ-630/10; 2Т ТМ-630/10</t>
  </si>
  <si>
    <t>НВ008638</t>
  </si>
  <si>
    <t xml:space="preserve">ТП-0093 с.Вишневка </t>
  </si>
  <si>
    <t xml:space="preserve">1Т ТМ-100/10 </t>
  </si>
  <si>
    <t>НВ008570</t>
  </si>
  <si>
    <t xml:space="preserve">ТП-0101 с.Ракитное </t>
  </si>
  <si>
    <t>1Т ТМ-400/10</t>
  </si>
  <si>
    <t xml:space="preserve">ТП-380 с.Ракитное </t>
  </si>
  <si>
    <t xml:space="preserve">ТП-382 с.Ракитное </t>
  </si>
  <si>
    <t>НВ008490 
НВ008508</t>
  </si>
  <si>
    <t xml:space="preserve">ТП-383 с.Гаровка-1 </t>
  </si>
  <si>
    <t>1Т ТМ-630/6</t>
  </si>
  <si>
    <t>НВ008554</t>
  </si>
  <si>
    <t xml:space="preserve">ТП-2039 с.Некрасовка </t>
  </si>
  <si>
    <t>НВ008487</t>
  </si>
  <si>
    <t xml:space="preserve">ТП-3567 с.Ракитное </t>
  </si>
  <si>
    <t xml:space="preserve">1Т ТМ-400/10 , 2Т ТМ-400/10 </t>
  </si>
  <si>
    <t>HB008491</t>
  </si>
  <si>
    <t xml:space="preserve">ТП-3582 с.Краснореченское  </t>
  </si>
  <si>
    <t xml:space="preserve">1Т ТМ-400/6 </t>
  </si>
  <si>
    <t xml:space="preserve">ТП-3582а с.Краснореченское  </t>
  </si>
  <si>
    <t>HB009227</t>
  </si>
  <si>
    <t xml:space="preserve">630/10 </t>
  </si>
  <si>
    <t>Капитальный ремонт ТМ</t>
  </si>
  <si>
    <t>Ремонт АТ по результатам экспертизы промышленной безопасности</t>
  </si>
  <si>
    <t>установка ОПН</t>
  </si>
  <si>
    <t>ГАЗ-3307 №Х400АУ</t>
  </si>
  <si>
    <t>ОПУ</t>
  </si>
  <si>
    <t>Устройство кровли</t>
  </si>
  <si>
    <t>ТП-380 с. Ракитное</t>
  </si>
  <si>
    <t>Устройство каркаса</t>
  </si>
  <si>
    <t>ТП-382 с. Ракитное</t>
  </si>
  <si>
    <t>Замена дверей</t>
  </si>
  <si>
    <t>Оп. № 30/8/1</t>
  </si>
  <si>
    <t>Оп. № 382/5, 390,392,393</t>
  </si>
  <si>
    <t>НВ009953</t>
  </si>
  <si>
    <t>Корфовская №1 с отпайками (С-5)</t>
  </si>
  <si>
    <t>Корфовская №2 с отпайками (С-6)</t>
  </si>
  <si>
    <t>(С-5) № 12, 13, 121, 132, 2, 4, 11, 41, 45, 46, 49.
(С-6) 15, 18, 32, 47, 108, 147, 2, 4, 28, 45, 46, 49</t>
  </si>
  <si>
    <t>С-11</t>
  </si>
  <si>
    <t>С-12</t>
  </si>
  <si>
    <t>(С-11) оп.8, 26, 30 магистраль; № 21, 22, 42, 49, № 4 (портал), 7, 9, 13, 31, 32, 33, 34, 35, 40, 44 отпайка на ПС Бройлерная
(С-12) № 13, 26, 30 магистрал ; № 25, 42, № 4 (портал), 16, 20, 28, 29, 
31, 34, 35, 43
 отпайка на ПС Бройлерная</t>
  </si>
  <si>
    <t>HB009956</t>
  </si>
  <si>
    <t>(С-13) оп.№ 11, 
40, 67, 82, 127, 132, 133, 134, 1, 5, 9, 13, 61, 84, 100, 140, 142
(С-14) № 41, 49, 54, 68, 69, 127, 134, 141, 1, 9, 13, 100, 140, 142.</t>
  </si>
  <si>
    <t>С-13</t>
  </si>
  <si>
    <t>С-14</t>
  </si>
  <si>
    <t>HB009952</t>
  </si>
  <si>
    <t>С-3</t>
  </si>
  <si>
    <t>С-4</t>
  </si>
  <si>
    <t>(С-3) № 22,26,42,46.
(С-4) № 12,24,48,50, 6,34</t>
  </si>
  <si>
    <t xml:space="preserve">(С-3) пр.оп.№ 24-25, 26
№ 35-36, 41-42, 44-45, 35 </t>
  </si>
  <si>
    <t>С-7</t>
  </si>
  <si>
    <t>С-8</t>
  </si>
  <si>
    <t>(С-7) оп.№ 40, 101, 108, 110, 11, 87, 92, 102, 105.
(С-8) оп № 50, 108, 43, 48, 87</t>
  </si>
  <si>
    <t>пр. оп. №№15-22, 1-10</t>
  </si>
  <si>
    <t>ВЛ 0,4 кВ Ф-3 ТП 253 с. Князе-Волконское</t>
  </si>
  <si>
    <t>КППН</t>
  </si>
  <si>
    <t>п.1.1.</t>
  </si>
  <si>
    <t>п.1.2.</t>
  </si>
  <si>
    <t>п.1.6.</t>
  </si>
  <si>
    <t>КППН, по состоянию</t>
  </si>
  <si>
    <t>КППН, По состоянию</t>
  </si>
  <si>
    <t>Приказ от 29.11.2019г. №412</t>
  </si>
  <si>
    <t>Выполнение мероприятий по приказу</t>
  </si>
  <si>
    <t>ВЛ 10 кВ Ф-11 ПС Красицкая
L=12500 м</t>
  </si>
  <si>
    <t>ВЛ 10 кВ Ф-19 ПС Вяземская
L=28600  м</t>
  </si>
  <si>
    <t>ВЛ 10 кВ Ф-4 ПС Вяземская
L=6890 м</t>
  </si>
  <si>
    <t>ВЛ 10 кВ Ф-15 ПС Вяземская 
L=4600 м</t>
  </si>
  <si>
    <t>ВЛ 10 кВ Ф-17 ПС Вяземская
L=6000 м</t>
  </si>
  <si>
    <t>ВЛ 10 кВ Ф-1 ПС Ракитное
L=11698 м</t>
  </si>
  <si>
    <t>ВЛ 10 кВ Ф-1 ПС Дружба
L=1575м</t>
  </si>
  <si>
    <t>ВЛ 10 кВ Ф-2 ПС Бройлерная
L=3000м</t>
  </si>
  <si>
    <t>ВЛ 10 кВ Ф-11 ПС Некрасовка
L=2700 м</t>
  </si>
  <si>
    <t>ВЛ 10 кВ Ф-12 ПС Некрасовка
L=3450 м</t>
  </si>
  <si>
    <t>ВЛ 10 кВ Ф-20 ПС Бройлерная
L=3600 м</t>
  </si>
  <si>
    <t>ВЛ 10 кВ Ф-22 ПС Некрасовка
L=3675 м</t>
  </si>
  <si>
    <t>ВЛ 6 кВ Ф-33 ПС Горький
L=13160м</t>
  </si>
  <si>
    <t>ВЛ 10 кВ Ф-11 ПС Бычиха
L=9100 м</t>
  </si>
  <si>
    <t>ВЛ 10 кВ Ф-14 ПС Бычиха
L=15180 м</t>
  </si>
  <si>
    <t xml:space="preserve">КЛ 10 кВ от  Яч.вв. ТП-0047 до оп.13 Ф-10 ПС Дружба 
</t>
  </si>
  <si>
    <t xml:space="preserve">КЛ 10 кВ Ф-21 ПС Некрасовка  ТП-3559 - оп.44
</t>
  </si>
  <si>
    <t xml:space="preserve">КЛ 10 кВ Ф-22 ПС Некрасовка  ТП-3559 - оп.49
</t>
  </si>
  <si>
    <t xml:space="preserve">КЛ 10 кВ Ф-20 ПС Вяземская
</t>
  </si>
  <si>
    <t xml:space="preserve">КЛ 10 кВ Ф-18 ПС Лермонтовка  
</t>
  </si>
  <si>
    <t xml:space="preserve">КЛ 10 кВ Ф-19 ПС Вяземская
</t>
  </si>
  <si>
    <t xml:space="preserve">ВЛ 0,4 кВ Ф-1 ТП-1010 г. Вяземский 
</t>
  </si>
  <si>
    <t xml:space="preserve">ШР 35 Т-42, ЛР 35 Т-42, СР 35 1с, СР 35 2с, ШР 35 Т-45, ЛР 35 Т-45 </t>
  </si>
  <si>
    <t>HB010917</t>
  </si>
  <si>
    <t>оп.№ 73</t>
  </si>
  <si>
    <t>обваловка опоры</t>
  </si>
  <si>
    <t>1.1.</t>
  </si>
  <si>
    <t>1.5.</t>
  </si>
  <si>
    <t>1.6.</t>
  </si>
  <si>
    <t>1.7.</t>
  </si>
  <si>
    <t>1.8.</t>
  </si>
  <si>
    <t>1.9.</t>
  </si>
  <si>
    <t>1.10.</t>
  </si>
  <si>
    <t>1.12.</t>
  </si>
  <si>
    <t>1.13.</t>
  </si>
  <si>
    <t>1.14.</t>
  </si>
  <si>
    <t>1.17.</t>
  </si>
  <si>
    <t>2.1.</t>
  </si>
  <si>
    <t>2.2.</t>
  </si>
  <si>
    <t>2.3.</t>
  </si>
  <si>
    <t>2.4.</t>
  </si>
  <si>
    <t>2.5.</t>
  </si>
  <si>
    <t>2.7.</t>
  </si>
  <si>
    <t>2.9.</t>
  </si>
  <si>
    <t>2.10.</t>
  </si>
  <si>
    <t>2.11.</t>
  </si>
  <si>
    <t>2.12.</t>
  </si>
  <si>
    <t>3.1.1.</t>
  </si>
  <si>
    <t>3.1.2.</t>
  </si>
  <si>
    <t>3.1.3.</t>
  </si>
  <si>
    <t>3.1.4.</t>
  </si>
  <si>
    <t>3.1.5.</t>
  </si>
  <si>
    <t>3.1.6.</t>
  </si>
  <si>
    <t>3.1.7.</t>
  </si>
  <si>
    <t>3.1.8.</t>
  </si>
  <si>
    <t>3.1.9.</t>
  </si>
  <si>
    <t>3.1.10.</t>
  </si>
  <si>
    <t>3.1.11.</t>
  </si>
  <si>
    <t>3.1.12.</t>
  </si>
  <si>
    <t>3.1.13.</t>
  </si>
  <si>
    <t>3.1.16.</t>
  </si>
  <si>
    <t>3.1.18.</t>
  </si>
  <si>
    <t>3.1.19.</t>
  </si>
  <si>
    <t>3.1.21.</t>
  </si>
  <si>
    <t>3.1.22.</t>
  </si>
  <si>
    <t>3.1.23.</t>
  </si>
  <si>
    <t>3.1.24.</t>
  </si>
  <si>
    <t>3.1.25.</t>
  </si>
  <si>
    <t>3.1.26.</t>
  </si>
  <si>
    <t>3.1.27.</t>
  </si>
  <si>
    <t>3.1.28.</t>
  </si>
  <si>
    <t>3.1.29.</t>
  </si>
  <si>
    <t>3.1.30.</t>
  </si>
  <si>
    <t>3.1.32.</t>
  </si>
  <si>
    <t>3.1.33.</t>
  </si>
  <si>
    <t>3.1.34.</t>
  </si>
  <si>
    <t>3.1.35.</t>
  </si>
  <si>
    <t>3.1.37.</t>
  </si>
  <si>
    <t>3.1.39.</t>
  </si>
  <si>
    <t>3.2.1.</t>
  </si>
  <si>
    <t>3.2.2.</t>
  </si>
  <si>
    <t>3.2.3.</t>
  </si>
  <si>
    <t>3.2.4.</t>
  </si>
  <si>
    <t>3.2.5.</t>
  </si>
  <si>
    <t>3.2.6.</t>
  </si>
  <si>
    <t>3.2.8.</t>
  </si>
  <si>
    <t>4.1.</t>
  </si>
  <si>
    <t>4.2.</t>
  </si>
  <si>
    <t>4.3.</t>
  </si>
  <si>
    <t>4.4.</t>
  </si>
  <si>
    <t>4.5.</t>
  </si>
  <si>
    <t>4.6.</t>
  </si>
  <si>
    <t>4.8.</t>
  </si>
  <si>
    <t>4.9.</t>
  </si>
  <si>
    <t>4.10.</t>
  </si>
  <si>
    <t>4.11.</t>
  </si>
  <si>
    <t>4.12.</t>
  </si>
  <si>
    <t>5.1.</t>
  </si>
  <si>
    <t>5.2.</t>
  </si>
  <si>
    <t>5.3.</t>
  </si>
  <si>
    <t>5.4.</t>
  </si>
  <si>
    <t>5.5.</t>
  </si>
  <si>
    <t>5.6.</t>
  </si>
  <si>
    <t>5.7.</t>
  </si>
  <si>
    <t>5.8.</t>
  </si>
  <si>
    <t>5.9.</t>
  </si>
  <si>
    <t>5.10.</t>
  </si>
  <si>
    <t>5.11.</t>
  </si>
  <si>
    <t>5.12.</t>
  </si>
  <si>
    <t>5.13.</t>
  </si>
  <si>
    <t>5.14.</t>
  </si>
  <si>
    <t>5.15.</t>
  </si>
  <si>
    <t>5.17.</t>
  </si>
  <si>
    <t>5.18.</t>
  </si>
  <si>
    <t>5.19.</t>
  </si>
  <si>
    <t>5.20.</t>
  </si>
  <si>
    <t>5.21.</t>
  </si>
  <si>
    <t>5.22.</t>
  </si>
  <si>
    <t>5.23.</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</si>
  <si>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</si>
  <si>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</si>
  <si>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</si>
  <si>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</si>
  <si>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</si>
  <si>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</si>
  <si>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</si>
  <si>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</si>
  <si>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</si>
  <si>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</si>
  <si>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</si>
  <si>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</si>
  <si>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</si>
  <si>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</si>
  <si>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</si>
  <si>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</si>
  <si>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</si>
  <si>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</si>
  <si>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</si>
  <si>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</si>
  <si>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</si>
  <si>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</si>
  <si>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</si>
  <si>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6.1.</t>
  </si>
  <si>
    <t>6.2.</t>
  </si>
  <si>
    <t>6.3.</t>
  </si>
  <si>
    <t>6.4.</t>
  </si>
  <si>
    <t>6.5.</t>
  </si>
  <si>
    <t>6.6.</t>
  </si>
  <si>
    <t>6.7.</t>
  </si>
  <si>
    <t>6.8.</t>
  </si>
  <si>
    <t>6.9.</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</si>
  <si>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</si>
  <si>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</si>
  <si>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</si>
  <si>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</si>
  <si>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</si>
  <si>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</si>
  <si>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</si>
  <si>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</si>
  <si>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</si>
  <si>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</si>
  <si>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</si>
  <si>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</si>
  <si>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</si>
  <si>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</si>
  <si>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</si>
  <si>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</si>
  <si>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</si>
  <si>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</si>
  <si>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</si>
  <si>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</si>
  <si>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</si>
  <si>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</si>
  <si>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</si>
  <si>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</si>
  <si>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</si>
  <si>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</si>
  <si>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</si>
  <si>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</si>
  <si>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</si>
  <si>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</si>
  <si>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</si>
  <si>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</si>
  <si>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</si>
  <si>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7.3.</t>
  </si>
  <si>
    <t>7.4.</t>
  </si>
  <si>
    <t>7.6.</t>
  </si>
  <si>
    <t>7.7.</t>
  </si>
  <si>
    <t>7.8.</t>
  </si>
  <si>
    <t>7.9.</t>
  </si>
  <si>
    <t>7.10.</t>
  </si>
  <si>
    <t>7.11.</t>
  </si>
  <si>
    <t>7.12.</t>
  </si>
  <si>
    <t>7.13.</t>
  </si>
  <si>
    <t>7.14.</t>
  </si>
  <si>
    <t>7.15.</t>
  </si>
  <si>
    <t>7.16.</t>
  </si>
  <si>
    <t>7.17.</t>
  </si>
  <si>
    <t>7.18.</t>
  </si>
  <si>
    <t>7.19.</t>
  </si>
  <si>
    <t>7.20.</t>
  </si>
  <si>
    <t>7.21.</t>
  </si>
  <si>
    <t>7.22.</t>
  </si>
  <si>
    <t>7.23.</t>
  </si>
  <si>
    <t>7.24.</t>
  </si>
  <si>
    <t>7.25.</t>
  </si>
  <si>
    <t>7.26.</t>
  </si>
  <si>
    <t>7.27.</t>
  </si>
  <si>
    <t>7.28.</t>
  </si>
  <si>
    <t>8.1.1.</t>
  </si>
  <si>
    <t>8.1.2.</t>
  </si>
  <si>
    <t>8.1.3.</t>
  </si>
  <si>
    <t>8.1.4.</t>
  </si>
  <si>
    <t>8.1.5.</t>
  </si>
  <si>
    <t>8.1.6.</t>
  </si>
  <si>
    <t>8.1.7.</t>
  </si>
  <si>
    <t>8.1.8.</t>
  </si>
  <si>
    <t>8.1.9.</t>
  </si>
  <si>
    <t>8.1.11.</t>
  </si>
  <si>
    <t>8.1.12.</t>
  </si>
  <si>
    <t>8.1.13.</t>
  </si>
  <si>
    <t>8.1.14.</t>
  </si>
  <si>
    <t>8.1.15.</t>
  </si>
  <si>
    <t>8.1.16.</t>
  </si>
  <si>
    <t>8.1.17.</t>
  </si>
  <si>
    <t>8.1.18.</t>
  </si>
  <si>
    <t>8.1.20.</t>
  </si>
  <si>
    <t>8.2.1.</t>
  </si>
  <si>
    <t>8.2.2.</t>
  </si>
  <si>
    <t>9.1.</t>
  </si>
  <si>
    <t>9.2.</t>
  </si>
  <si>
    <t>9.3.</t>
  </si>
  <si>
    <t>9.4.</t>
  </si>
  <si>
    <t>9.5.</t>
  </si>
  <si>
    <t>9.6.</t>
  </si>
  <si>
    <t>9.7.</t>
  </si>
  <si>
    <t>9.8.</t>
  </si>
  <si>
    <t>9.9.</t>
  </si>
  <si>
    <t>9.10.</t>
  </si>
  <si>
    <t>9.11.</t>
  </si>
  <si>
    <t>9.12.</t>
  </si>
  <si>
    <t>9.13.</t>
  </si>
  <si>
    <t>9.14.</t>
  </si>
  <si>
    <t>9.15.</t>
  </si>
  <si>
    <t>9.16.</t>
  </si>
  <si>
    <t>9.17.</t>
  </si>
  <si>
    <t>9.18.</t>
  </si>
  <si>
    <t>9.21.</t>
  </si>
  <si>
    <t>9.23.</t>
  </si>
  <si>
    <t>9.24.</t>
  </si>
  <si>
    <t>9.25.</t>
  </si>
  <si>
    <t>Письмо от 08.04.2019г. №08-03-12-35/638</t>
  </si>
  <si>
    <t>НВ036197</t>
  </si>
  <si>
    <t>замена фильтров</t>
  </si>
  <si>
    <t>Замена втулок кронштейна углового отвала</t>
  </si>
  <si>
    <t>Замена гусеницы</t>
  </si>
  <si>
    <t>НВ032884</t>
  </si>
  <si>
    <t>замена катков</t>
  </si>
  <si>
    <t>замена балансира</t>
  </si>
  <si>
    <t>замена стартера</t>
  </si>
  <si>
    <t>замена лебедки</t>
  </si>
  <si>
    <t>Замена бортового фрикциона</t>
  </si>
  <si>
    <t>замена торсиона</t>
  </si>
  <si>
    <t>замена тормозной ленты</t>
  </si>
  <si>
    <t>Замена отопителя салона в сборе</t>
  </si>
  <si>
    <t>НВ036612</t>
  </si>
  <si>
    <t>замена зубьев</t>
  </si>
  <si>
    <t>замена ремня генератора</t>
  </si>
  <si>
    <t>замена датчика</t>
  </si>
  <si>
    <t>замена турбокомпрессора</t>
  </si>
  <si>
    <t>замена гидроаккумулятора</t>
  </si>
  <si>
    <t>замена опорного катка</t>
  </si>
  <si>
    <t>замена патрубка</t>
  </si>
  <si>
    <t xml:space="preserve">НВ001058   </t>
  </si>
  <si>
    <t>HB010041</t>
  </si>
  <si>
    <t>пр.оп. № 5-6,6-7,7-8</t>
  </si>
  <si>
    <t>пр.оп. №.9-16,18-28,42-44,48-50,51-53,64-71,77-86,94-95,101-102.</t>
  </si>
  <si>
    <t>НВ037183</t>
  </si>
  <si>
    <t>НВ037207</t>
  </si>
  <si>
    <t>НВ037181</t>
  </si>
  <si>
    <t>HB037244</t>
  </si>
  <si>
    <t>1.19.</t>
  </si>
  <si>
    <t>HB009071</t>
  </si>
  <si>
    <t>С-7, С-8</t>
  </si>
  <si>
    <t>НВ037211</t>
  </si>
  <si>
    <t>С-47</t>
  </si>
  <si>
    <t>С-48</t>
  </si>
  <si>
    <t>оп.№2,3,6,9,17,21,26,27,29,10,13,14,15,18,19,20,22,28,16,23,1,5,30,10</t>
  </si>
  <si>
    <t xml:space="preserve">HB008232 </t>
  </si>
  <si>
    <t xml:space="preserve">оп.№ 12, 20, 22, 33, 34  </t>
  </si>
  <si>
    <t>выправка опор 5шт, обваловка опор 5шт</t>
  </si>
  <si>
    <t>оп.№ 62, 79, 81, 94, 95, 131, 133, 140, 154, 165, 180, 40, 43, 48, 54, 59, 75, 80, 83, 87, 89, 90, 93, 96, 98, 100, 105, 108, 109, 111, 114-118, 120, 122, 123, 128, 141-144, 147, 149, 151, 157, 163, 176, 179</t>
  </si>
  <si>
    <t>оп. № 92, 99, 101, 102, 103, 137, 138, 150, 155</t>
  </si>
  <si>
    <t xml:space="preserve">оп.№101, 103, 137, 92, 99, 102, 138, 150, 155 </t>
  </si>
  <si>
    <t>В 110 C-46</t>
  </si>
  <si>
    <t>НВ010381</t>
  </si>
  <si>
    <t>НВ010618</t>
  </si>
  <si>
    <t>МКП-110 CВ-110</t>
  </si>
  <si>
    <t>НВ010394</t>
  </si>
  <si>
    <t>В 110 2Т</t>
  </si>
  <si>
    <t>HB008202</t>
  </si>
  <si>
    <t>HB011169</t>
  </si>
  <si>
    <t>В 35 2Т</t>
  </si>
  <si>
    <t>В 35 1Т,В 35 2Т</t>
  </si>
  <si>
    <t>В 35 Т-60</t>
  </si>
  <si>
    <t>HB010078</t>
  </si>
  <si>
    <t>HB008479</t>
  </si>
  <si>
    <t>СВ 35</t>
  </si>
  <si>
    <t>HB008208</t>
  </si>
  <si>
    <t>В 110  ПримГРЭС-Бикин</t>
  </si>
  <si>
    <t>В 35 Т-48</t>
  </si>
  <si>
    <t>HB009347</t>
  </si>
  <si>
    <t>В 35 Т-26</t>
  </si>
  <si>
    <t xml:space="preserve">В 35 1Т </t>
  </si>
  <si>
    <t xml:space="preserve">АИИС Лазовского РЭС </t>
  </si>
  <si>
    <t>НВ030725</t>
  </si>
  <si>
    <t>НВ031205</t>
  </si>
  <si>
    <t>НВ008181</t>
  </si>
  <si>
    <t>НВ008681</t>
  </si>
  <si>
    <t>Монтаж дверей</t>
  </si>
  <si>
    <t>HB008181</t>
  </si>
  <si>
    <t xml:space="preserve">НВ010272 </t>
  </si>
  <si>
    <t xml:space="preserve">НВ010178  </t>
  </si>
  <si>
    <t xml:space="preserve">НВ010464  </t>
  </si>
  <si>
    <t>НВ037239</t>
  </si>
  <si>
    <t>НВ031083</t>
  </si>
  <si>
    <t>НВ010210</t>
  </si>
  <si>
    <t xml:space="preserve">НВ011192 </t>
  </si>
  <si>
    <t>НВ008760</t>
  </si>
  <si>
    <t>НВ030715</t>
  </si>
  <si>
    <t>НВ030710</t>
  </si>
  <si>
    <t>НВ035869</t>
  </si>
  <si>
    <t>НВ038276</t>
  </si>
  <si>
    <t>3.1.40.</t>
  </si>
  <si>
    <t>замена штыревого изолятора</t>
  </si>
  <si>
    <t>3.1.36.</t>
  </si>
  <si>
    <t>3.1.41.</t>
  </si>
  <si>
    <t>3.1.42.</t>
  </si>
  <si>
    <t>3.1.43.</t>
  </si>
  <si>
    <t>В-6 типа ВМГ-133,ВМГ-10 на ВВ яч.6, яч.9</t>
  </si>
  <si>
    <t>HB009446</t>
  </si>
  <si>
    <t>№ 19</t>
  </si>
  <si>
    <t>оп.№ 5,28,31,63</t>
  </si>
  <si>
    <t>HB009565</t>
  </si>
  <si>
    <t>№ 7</t>
  </si>
  <si>
    <t>оп.№ 64/10,31</t>
  </si>
  <si>
    <t>пр. оп. оп. №60-64/9,69-71</t>
  </si>
  <si>
    <t>ВЛ 10 кВ Ф-1 ПC ОПХ 
L=7140м</t>
  </si>
  <si>
    <t>3.1.44.</t>
  </si>
  <si>
    <t>3.1.45.</t>
  </si>
  <si>
    <t>ЗОН 110 1Т, ЗОН 110 2Т</t>
  </si>
  <si>
    <t>СР-110 1С,СР-110 2С,ШР-110 1С,ШР-110 2С,РРП-110 1С,РРП-110 2С</t>
  </si>
  <si>
    <t>ШР 110 ТН 2с.</t>
  </si>
  <si>
    <t>ШР 110 С-45,С-46, ТН 110 1с, СР110 2с</t>
  </si>
  <si>
    <t>С-13,С-14</t>
  </si>
  <si>
    <t>ВЛ 110 кВ  Вяземская-Котиково (С-26)</t>
  </si>
  <si>
    <t>ВЛ 110 кВ Сита-Петровичи  (С-51)</t>
  </si>
  <si>
    <t xml:space="preserve">ВЛ 110 кВ СМР-КАФ №1 (С-21) </t>
  </si>
  <si>
    <t>ВЛ 110 кВ ТЭЦ-1 - Корфовская № 1,2 с отпайками (С-5,С-6)</t>
  </si>
  <si>
    <t>ВЛ 110 кВ Сидима - Золотая (С-37)</t>
  </si>
  <si>
    <t>КВЛ 110 кВ РЦ – Энергомаш № 1,2 с отпайками (С-47/С-48)</t>
  </si>
  <si>
    <t>ВЛ 35 кВ Красицкая-Капитоновка (Т-72)</t>
  </si>
  <si>
    <t>ВЛ 35 кВ Тополево - ОПХ с отпайками на ПС Чернореченская, Горький (Т-69)</t>
  </si>
  <si>
    <t>ВЛ 35 кВ Дубки - Анастасьевка с отпайкой на ПС Краснознаменка (Т-38)</t>
  </si>
  <si>
    <t>ВЛ 35 кВ БН - ХЭС №1,2 с отпаками на ПС Интурист(Т-7,Т-8)</t>
  </si>
  <si>
    <t>ВЛ 35 кВ АК - СРЗ №1,№2 (Т-32/Т33)</t>
  </si>
  <si>
    <t>ВЛ 35 кВ АК - ЮМР №1;№2 с отпайкой на ПС СТ (Т-30/Т-31)</t>
  </si>
  <si>
    <t>ВЛ 35 кВ Южная - Некрасовка с отпайкой на ПС Очистные сооружения (Т-42)</t>
  </si>
  <si>
    <t>ВЛ 35 кВ Новокуровка - Победа (Т-103)</t>
  </si>
  <si>
    <t>ВЛ 35 кВ Волочаевка - Новокуровка (Т-104)</t>
  </si>
  <si>
    <t>ВЛ 35 кВ Петровичи-Святогорье  (Т-54)</t>
  </si>
  <si>
    <t>ПС 35 кВ НС-1</t>
  </si>
  <si>
    <t>HB011208</t>
  </si>
  <si>
    <t>Акт РПА от 13.03.2018 № 88 (Южный транзит)</t>
  </si>
  <si>
    <t xml:space="preserve">пр.оп. № 62-64,66-67,71-72,82-83,91-94,111-118. </t>
  </si>
  <si>
    <t>ВЛ 110 кВ Хор-Красицкая с отпайкой 
на ПС Дормидонтовка (С–29)</t>
  </si>
  <si>
    <t>HB009976</t>
  </si>
  <si>
    <t>НВ010156</t>
  </si>
  <si>
    <t>демонтаж сетчатого ограждения 100м, монтаж сетчатого ограждения 100м</t>
  </si>
  <si>
    <t>HB010876</t>
  </si>
  <si>
    <t>ВЛ 0,4 кВ Ф-1 ТП-715 с. Полетное</t>
  </si>
  <si>
    <t>оп. №№ 3, 4, 5, 6, 8, 9, 10, 11, 12, 13, 13/1, 1/2А, 1/4А, 1/1, ½, 1/3,№1, 1/1А, 1/3А, 7, 14, 1/4, 1/5, 2</t>
  </si>
  <si>
    <t>пр.оп. №  3, 4, 5, 6, 8, 9, 10, 11, 12, 13, 13/1, 1/1, ½, 1/3, 1/1А, 1, 7, 14, ¼, 1/2А,2</t>
  </si>
  <si>
    <t xml:space="preserve">пр.оп. № №1/5, 1/2А, 6, 10, 13/1, 14, </t>
  </si>
  <si>
    <t>пр.оп. № № 13-14, 1-1/5, 1/1А-1/2А, от ТП до опоры № 1, 1/2А-1/4А, 1-10, № 10-13</t>
  </si>
  <si>
    <t>пр.оп. № №1-1/2А, 1-1/4, 13-13/1, от ТП до опоры № 14</t>
  </si>
  <si>
    <t>HB010159</t>
  </si>
  <si>
    <t>Мероприятий по Тосв</t>
  </si>
  <si>
    <t>Пр.оп. № 82-83,131-133,138-139</t>
  </si>
  <si>
    <t>Пр.оп. № 13-14,15-16,28-29</t>
  </si>
  <si>
    <t>HB008186</t>
  </si>
  <si>
    <t>ТП-460  п. Ильинка</t>
  </si>
  <si>
    <t>HB009995</t>
  </si>
  <si>
    <t>пр.оп.№78-79, 81-82,93-94,107-108,114-115,115-116,118-119,119-120</t>
  </si>
  <si>
    <t>1.20.</t>
  </si>
  <si>
    <t>1.21.</t>
  </si>
  <si>
    <t xml:space="preserve">пр.оп.№101-102 </t>
  </si>
  <si>
    <t xml:space="preserve">оп.№15,19,29,31,33,36,38,40,52,53,65,72,73,90,91,92,95,96,98,99 </t>
  </si>
  <si>
    <t>ВЛ 0,4 кВ Ф-2 ТП-425 с. Ракитное</t>
  </si>
  <si>
    <t>ЦП по установке ПЗУ</t>
  </si>
  <si>
    <t>Указание от 24.03.2020 №16</t>
  </si>
  <si>
    <t>оп. №68.</t>
  </si>
  <si>
    <t>Замена топливного бака</t>
  </si>
  <si>
    <t>Замена гидроусилителя рулевого управления</t>
  </si>
  <si>
    <t>Замена крыла</t>
  </si>
  <si>
    <t>Замена капота</t>
  </si>
  <si>
    <t>Замена амортизатора</t>
  </si>
  <si>
    <t>Замена карданного вала</t>
  </si>
  <si>
    <t>Замена коробки раздаточной</t>
  </si>
  <si>
    <t>Замена дифференциала заднего моста</t>
  </si>
  <si>
    <t>Замена карбюратора</t>
  </si>
  <si>
    <t>Замена барабана тормозного переднего</t>
  </si>
  <si>
    <t>Замена барабана тормозного заднего</t>
  </si>
  <si>
    <t>Замена колодки передней</t>
  </si>
  <si>
    <t>Замена колодки задней</t>
  </si>
  <si>
    <t>Замена барабана тормозного</t>
  </si>
  <si>
    <t>Замена колодки</t>
  </si>
  <si>
    <t>Замена коробки передач</t>
  </si>
  <si>
    <t>Замена бака топливного</t>
  </si>
  <si>
    <t>Замена подножки кабины</t>
  </si>
  <si>
    <t>Замена коленвала</t>
  </si>
  <si>
    <t>Замена балансира</t>
  </si>
  <si>
    <t>Замена торсионного вала</t>
  </si>
  <si>
    <t>Замена вала карданного</t>
  </si>
  <si>
    <t>Замена моста</t>
  </si>
  <si>
    <t>Замена рессоры</t>
  </si>
  <si>
    <t>Замена радиатора системы охлаждения</t>
  </si>
  <si>
    <t>Замена ножа отвала</t>
  </si>
  <si>
    <t>Замена гидрораспределителя</t>
  </si>
  <si>
    <t>Замена гидронасоса</t>
  </si>
  <si>
    <t>Замена рессоры передней</t>
  </si>
  <si>
    <t>Замена рессоры задней</t>
  </si>
  <si>
    <t>Замена фильтров</t>
  </si>
  <si>
    <t>Замена элемента фильтрующий трансмиссии</t>
  </si>
  <si>
    <t>Замена лобового стекла</t>
  </si>
  <si>
    <t>Ф «В» в ст 1Т – 1 шт; Ф «С» в ст ВЛ и 1Т – 1 шт.</t>
  </si>
  <si>
    <t>Замена трансформаторов напряжения 6-10 кВ</t>
  </si>
  <si>
    <t>8.1.10.</t>
  </si>
  <si>
    <t>8.1.19.</t>
  </si>
  <si>
    <t>НВ009442
НВ008421</t>
  </si>
  <si>
    <t>оп. № 2,5,6,9,18,47, 13,19,20</t>
  </si>
  <si>
    <t>переустановка укоса</t>
  </si>
  <si>
    <t xml:space="preserve">пр. оп. №5-8,10-10/4,46-47  </t>
  </si>
  <si>
    <t xml:space="preserve">пр.оп. №5-8,10-10/3,46-47 </t>
  </si>
  <si>
    <t>ВЛ 10 кВ Ф-10 ПС Ракитное
L=4670 м</t>
  </si>
  <si>
    <t>ГАЗ №М240ТЕ</t>
  </si>
  <si>
    <t xml:space="preserve">ГАЗ-3307 №Х630АУ
</t>
  </si>
  <si>
    <t>ГАЗ-5312  №Х551АУ</t>
  </si>
  <si>
    <t>ГАЗ-3307  №Х633АР</t>
  </si>
  <si>
    <t>МТЛБ  №3722ХТ</t>
  </si>
  <si>
    <t>УАЗ-390995  №М258УУ</t>
  </si>
  <si>
    <t>УАЗ-390994  №М484НЕ</t>
  </si>
  <si>
    <t xml:space="preserve">УАЗ-315148  №М731НА
</t>
  </si>
  <si>
    <t>УАЗ №О996МК</t>
  </si>
  <si>
    <t>ЭО-2621 №7497ХТ</t>
  </si>
  <si>
    <t>УАЗ №Н851ХЕ</t>
  </si>
  <si>
    <t>УАЗ-390995 №Н 613 СС</t>
  </si>
  <si>
    <t>Снегоболотоход ТТМ 3902  №ХМ 38-10</t>
  </si>
  <si>
    <t>Мульчер AHWI RT-400 №ХН 32-24</t>
  </si>
  <si>
    <t>Бульдозер SHANTUI SD16 04-14 ХН 27</t>
  </si>
  <si>
    <t>9.19.</t>
  </si>
  <si>
    <t>9.22.</t>
  </si>
  <si>
    <t>3.2.7.</t>
  </si>
  <si>
    <t xml:space="preserve">ЛР-110  С-5,С-6,С-23,С-25, ШР-110 С-5, С-6,С-23,С-25, 1Т, 2Т, ОВ 110, 1ТН 110,2ТН 110 , СР 110 1,2, ОШР-110 С-5,С-6,С-23,С-25,ОВ 110 </t>
  </si>
  <si>
    <t>Замена проходных изоляторов - 6 шт, замена РВС на ОПН - 3 шт,  замена рубильника на автоматический выключатель - 4 шт, установка ОПН 0,4 - 3 шт, ТР разъединителя - 1шт.</t>
  </si>
  <si>
    <t>ЗРП-1940</t>
  </si>
  <si>
    <t xml:space="preserve">НВ037197  </t>
  </si>
  <si>
    <t>Яч. 6 А, С</t>
  </si>
  <si>
    <t>Яч. 2 А, С,Яч. 35 А, С,Яч. 34 А, С</t>
  </si>
  <si>
    <t>Яч. 9 А, С, Яч. 6 А, С, Яч. 8 А, С, Яч. 27 А, С</t>
  </si>
  <si>
    <t>Яч. 1А А, С</t>
  </si>
  <si>
    <t>Яч. 13 А, С</t>
  </si>
  <si>
    <t xml:space="preserve">Яч. 1 А, С , Яч. 6 А, С , Яч. 7 А, С </t>
  </si>
  <si>
    <t xml:space="preserve">Яч. 14 А, С, Яч. 5 А, С </t>
  </si>
  <si>
    <t>HB010343</t>
  </si>
  <si>
    <t xml:space="preserve">HB010278 </t>
  </si>
  <si>
    <t>НВ010383</t>
  </si>
  <si>
    <t xml:space="preserve">HB009335 </t>
  </si>
  <si>
    <t xml:space="preserve">HB009216 </t>
  </si>
  <si>
    <t xml:space="preserve">HB009752 </t>
  </si>
  <si>
    <t xml:space="preserve">HB009322 </t>
  </si>
  <si>
    <t>ВЛ 0,4 кВ Ф-1,2,3 ТП-618 с. Святогорье</t>
  </si>
  <si>
    <t>Ф-1 оп.№5,6,7,8,9,10; Ф-2 оп.№ 2, 3, 5, 6, 7, 8, 6/1, 15/3, 15/4, 15/5, 15/6, 15/7, 15/3/1, 15.5/1, 15/6/1, 17/2А, 1, 4, 15/8, 17/1А; Ф-3 оп.№ 1/2-1/5, 1/7, 1/14-1/16, 1/17/1, 1/17/2, 1/17/5, 1/19,1/20, 1/15/1, 2-4, 6, 7, 9-12, 14, 5/1-5/3, 5/4/1, 5/4/2, 5/5-5/7, 10/2, 10/4, 10/5, 1/1, 1/6, 1/17, 1/17/2, 1/18, 1, 5, 8, 13, 5/4</t>
  </si>
  <si>
    <t>Ф-1 оп.№5,9; Ф-2 оп.№ 2, 3, 5, 6, 6/1, 7, 8, 15/3, 15/4, 15/5, 15/6, 15/7, 15/3/1, 15.5/1, 15/6/1, 17/2А, 1, 4, 15/8, 17/1А; Ф-3 оп.№ 1/2-1/5, 1/7, 1/14-1/16, 1/17/1, 1/17/2, 1/17/5, 1/19,1/20, 1/15/1, 2-4, 6, 9-12, 14, 5/1-5/3, 5/4/1, 5/4/2, 5/5-5/7, 1/1, 1/6, 1/17, 1/17/2, 1/18, 1, 5, 8, 13, 5/4, 5/6, 7</t>
  </si>
  <si>
    <t>Ф-1 пр.оп.№6-10; 4-5; 1-4, 4-5; Ф-2 пр.оп. № 15/2-15/8, 15/7-15/7/1, 15/6-15/6/1, 15/5-15/5/1, 15/4-15/4/1, 15/3-15/3/1, 15/2-15/2/1, 9-9/3, 17-17/2А, 28-34, 31-31/1, 17-17/2, 12-12/1, 6-6/1; 1-28; 15-15/2; Ф-3 пр.оп. 5/4-5/8, 8-14, 10-10/5, 5/4/1-5/4/2, 1/17-1/17/5,1/14-1/14/1, 1/15-1/15/1, 1/17-1/20; 1-5; 1/1-1/17, 5-8, 5-5/4, 5/4-5/4/1</t>
  </si>
  <si>
    <t>Ф-1 пр.оп.№от ТП до опоры № 17, 4-6, Ф-2 пр.оп. №от ТП до опоры № 28, от оп. 15 до оп.15/8, 9-9/3, 17-17/2, 17-17/2А, 15/2-15/2/1, 15/3-15/3/1, 15/4-15/4/1, 15/5-15/5/1, 15/6-15/6/1, 15/7-15/7/1, 12-12/1, 31-31/1, 33-34, 28-33, 6-6/1, Ф-3 пр.оп.№ от ТП до опоры № 1/18, от ТП до оп.13, 5-5/4, 1/14-1/14/1, 1/15-1/15/1, 1/17-1/17/5,1/18-1/20, 5/4-5/8, 5/4-5/4/2, 10-10/5, 13-14, 3-3/1</t>
  </si>
  <si>
    <t>демонтаж опор 71шт, монтаж опор 67шт, демонтаж провода (по трассе) 4,32км, монтаж провода (по трассе) 4,821км, демонтаж ответвлений 18шт, монтаж ответвлений 18шт</t>
  </si>
  <si>
    <t>ЯЧ. 6, 10</t>
  </si>
  <si>
    <t>HB008535</t>
  </si>
  <si>
    <t xml:space="preserve">HB008475 </t>
  </si>
  <si>
    <t>ЯЧ. 5,6</t>
  </si>
  <si>
    <t>Яч. 4 А, С, Яч. 20 А, С, Яч. 6 А, С, Яч. 22 А, С</t>
  </si>
  <si>
    <t xml:space="preserve">Яч. 12 А, С </t>
  </si>
  <si>
    <t xml:space="preserve">Яч. 3 А, С </t>
  </si>
  <si>
    <t xml:space="preserve">HB008208 </t>
  </si>
  <si>
    <t>НВ037200</t>
  </si>
  <si>
    <t>НВ037185</t>
  </si>
  <si>
    <t>НВ037186</t>
  </si>
  <si>
    <t>НВ009052</t>
  </si>
  <si>
    <t>НВ010935</t>
  </si>
  <si>
    <t>HB009962</t>
  </si>
  <si>
    <t>оп.№ 49,1,28,4,20,23,24,25,29,31,35,36,37,38,46,47,48,53,54,55,56,57,58,59,8,27,50,51,52</t>
  </si>
  <si>
    <t>замена дефектной изоляции</t>
  </si>
  <si>
    <t>оп.№6,8,9,7,14,15</t>
  </si>
  <si>
    <t>ВЛ 10 кВ Ф-18 ПС Лермонтовка
L = 34800 м</t>
  </si>
  <si>
    <t>ВЛ 10 кВ Ф-1 ПС Тополево 
L=6440 м</t>
  </si>
  <si>
    <t>1-2 , 2-3 , 3-4, 4-5, 5-6, 7-8, 10-11, 11-12, 12-портал ПС СРЗ (177 шт деревьев)</t>
  </si>
  <si>
    <t>расширение просек</t>
  </si>
  <si>
    <t>С-7, С-8 (991 шт деревьев)</t>
  </si>
  <si>
    <t>С-13,С-14 (13900 шт деревьев)</t>
  </si>
  <si>
    <t>пр.оп. № 45-46,74-75,77-78-79-80-81,84-85-86-87-88-89,101-102-103-104-105-106-107-108-109-110,111-112,113-114-115,119-120-121-122-123,124-125-126,127-128-129-130,131-132-133-134-135-136,138-139-140,144-145-146-147,148-149-150-151-152,153-154-155-156-157-158-159-160-161-162-163,165-166-167-168-169-170-171-172-173,174-175,178-179-180-181-182-183-184,188-189-190,200-201,214-215,216-217-218,222-223-224,225-226,227-228,241-242-243,46-47,59-60,64-65,67-68,89-90,115-116,116-117,117-118,118-119,137-138,140-141,142-143,147-148,165-166,173-174,176-177,177-178,182-183,184-185,185-186,186-187,190-191,191-192,192-193,194-195,199-200,202-203,206-207,208-209,212-213,213-214,215-216,221-222,225-226,226-227,228-229,244-245 (6556 шт деревьев)</t>
  </si>
  <si>
    <t>1.22.</t>
  </si>
  <si>
    <t>НВ009247</t>
  </si>
  <si>
    <t>ВЛ 10 кВ Ф-7 ПС Благодатное</t>
  </si>
  <si>
    <t>оп. 13, 14, 15, 16, 17, 18, 19, 20, 22, 23, 24, 25, 26, 28, 29, 30, 31, 32, 37, 40, 65, 68, 73, 74, 75, 76, 77, 78, 79, 80, 13, 22, 27</t>
  </si>
  <si>
    <t>оп№ 2, 3, 4, 5, 9, 15, 18, 37, 42, 49, 57, 58, 59, 64, 65, 68, 78</t>
  </si>
  <si>
    <t>Протокол 2-ГИ от 20.01.2020 / 40-ГИ от 06.11,2019</t>
  </si>
  <si>
    <t>прил.5 / прил.4.1</t>
  </si>
  <si>
    <t xml:space="preserve">оп.№ 7-13, 18-19, 19-20, 20-21, 22-23, 23-27,
29-3, 34-35, 36-38, 38-39, 41-44, 46-47, 53-54,  56-89, 89-90, 90-92, 94-95, 102-108, 13-18, 32-34,  39-40, 44-46, 47-51, 51-53 , 54-55, 100-101 (11045 шт деревьев)
</t>
  </si>
  <si>
    <t>пр.оп. №2-3, 
3-4, 4-5, 7-8 
, 14-15, 25-26, 26-27, 27-28, 28-29, 29-30, 30-31, 31-32, 32-33, 33-34 , 34-35, 35-36, 36-37, 37-38, 38-39 , 39-40, 40-41, 41-42, 42-43, 43-44, 44-45 , 46-47 , 52-53 , 53-54, 54-55 , 55-56, 56-57 , 57-58 ,  58-59, 59-60 , 60-61, 61-62 , 62-63 , 63-64, 64-65, 65-66, 66-67 , 67-68 , 68-69, 69-70, 70-71, 71-72, 73-74 , 74-75 ,  77-78, 78-79, 79-80, 80-81 , 81-82 , 82-83 , 83-84 , 84-85, 85-86, 87-88, 88-89, 89-90, 90-91,  91-92 , 92-93, 93-94, 94-95 , 97-98, 98-99 , 103-104 , 104-105, 105-106, 106-107, 107-108, 108-109, 109-110, 110-111 , 111-112 , 112-113 , 113-114 , 114-115 , 115-116 , 116-117 , 117-118 ,  118-119 , 120-121 , 121-122 , 122-123 , 123-124 , 127-128, 128-129 (12635 шт деревьев)</t>
  </si>
  <si>
    <t>НВ10032</t>
  </si>
  <si>
    <t>№ 4 (фаза «С» 5,7-й)</t>
  </si>
  <si>
    <t>НВ10033</t>
  </si>
  <si>
    <t>№ 48 (фаза «С» 1,2-й)</t>
  </si>
  <si>
    <t>пр.оп.18-19, 21-22, 23-24, 47-48, 48-49, 49-50, 50-51, 77-78, 119-120,120-121, банкетки оп.№ 3,4,5,6,7,8,9,10,11,12,14,16,18,19,20,21,22,23,24,25,26,27,28,29,30,31,32,33,35,36,37,38,39,42,44,45,46,49,50,51,52,55,56,57,58,59,60,61,62,63,64,65,66,67,70,71,72,73,74,75,76,77,78,79,80,81,82,83,85,86,87,88,90,91,92,93,94,96,97,98,99,100,101,102,103,104,105,106,107,108,109,110,111,113,114,116,117,119,120,122,123,124,125,126,127, 15,34,53,54,68,69,84,89,95,112,115,118,121,128,129</t>
  </si>
  <si>
    <t>ЛР-110  С-5,С-6,С-23,С-25, ШР-110 С-5, С-6,С-23,С-25, 1Т, 2Т, ОВ 110, 1ТН 110,2ТН 110,ОШР-110 С-5,С-6,С-23,С-25,ОВ 110,СР 110 1,СР 110 2</t>
  </si>
  <si>
    <t>Акт РПА от 27.01.2020г. № 104</t>
  </si>
  <si>
    <t>1.11.</t>
  </si>
  <si>
    <t>1.15.</t>
  </si>
  <si>
    <t>1.16.</t>
  </si>
  <si>
    <t>1.18.</t>
  </si>
  <si>
    <t>2.6.</t>
  </si>
  <si>
    <t>2.8.</t>
  </si>
  <si>
    <t>3.1.14.</t>
  </si>
  <si>
    <t>3.1.15.</t>
  </si>
  <si>
    <t>3.1.17.</t>
  </si>
  <si>
    <t>3.1.20.</t>
  </si>
  <si>
    <t>3.1.31.</t>
  </si>
  <si>
    <t>3.1.38.</t>
  </si>
  <si>
    <t>4.7.</t>
  </si>
  <si>
    <t>4.13.</t>
  </si>
  <si>
    <t>5.16.</t>
  </si>
  <si>
    <t>5.48.</t>
  </si>
  <si>
    <t>5.49.</t>
  </si>
  <si>
    <t>6.10.</t>
  </si>
  <si>
    <t>6.11.</t>
  </si>
  <si>
    <t>ПС 110 кВ Красицкая</t>
  </si>
  <si>
    <t>5.50.</t>
  </si>
  <si>
    <t>7.1.</t>
  </si>
  <si>
    <t>7.2.</t>
  </si>
  <si>
    <t>7.5.</t>
  </si>
  <si>
    <t>9.20.</t>
  </si>
  <si>
    <t>9.26.</t>
  </si>
  <si>
    <t>9.27.</t>
  </si>
  <si>
    <t>9.28.</t>
  </si>
  <si>
    <t>10.2.1.</t>
  </si>
  <si>
    <t>10.2.2.</t>
  </si>
  <si>
    <t>10.2.3.</t>
  </si>
  <si>
    <t>10.2.4.</t>
  </si>
  <si>
    <t>10.2.5.</t>
  </si>
  <si>
    <t>10.2.6.</t>
  </si>
  <si>
    <t>10.2.7.</t>
  </si>
  <si>
    <t>10.2.8.</t>
  </si>
  <si>
    <t>10.2.9.</t>
  </si>
  <si>
    <t>10.2.10.</t>
  </si>
  <si>
    <t>10.2.11.</t>
  </si>
  <si>
    <t>10.2.12.</t>
  </si>
  <si>
    <t>10.2.13.</t>
  </si>
  <si>
    <t>10.2.14.</t>
  </si>
  <si>
    <t>10.2.15.</t>
  </si>
  <si>
    <t>ВЛ 110 кВ Хабаровская ТЭЦ-3 -  ВДЗ №1 с отпайкой на ПС Племрепродуктор (С-43)</t>
  </si>
  <si>
    <t>ВЛ 110 кВ Хабаровская ТЭЦ-3 -  ВДЗ №2 с отпайкой на ПС Племрепродуктор (С-44)</t>
  </si>
  <si>
    <t>ВЛ 10 кВ Ф-15 Бикин
 L=21320 м</t>
  </si>
  <si>
    <t>ВЛ 10 кВ Ф-5 ПС Лермонтовка 
 L=23 820 м</t>
  </si>
  <si>
    <t>ВЛ 10 кВ Ф-21 ПС Вяземская
L=21000 м</t>
  </si>
  <si>
    <t>ВЛ 10 кВ Ф-6 ПС Котиково
L=3500 м</t>
  </si>
  <si>
    <t>ВЛ 110 кВ ТЭЦ-1 - РЦ с отпайками №1,2 (C-7/С-8)</t>
  </si>
  <si>
    <t>ВЛ 10 кВ Ф-1 ПС Черняево
L=23020 м</t>
  </si>
  <si>
    <t>ВЛ 10 кВ Ф-2 ПС Переяславка 
L=5400 м</t>
  </si>
  <si>
    <t>ВЛ 10 кВ Ф-3 ПС Переяславка 
L=5300 м</t>
  </si>
  <si>
    <t>ВЛ 10 кВ Ф-7 ПС Гродеково
L=5600 м</t>
  </si>
  <si>
    <t>ВЛ 10 кВ Ф-7 ПС Переяславка
L=7000 м</t>
  </si>
  <si>
    <t>ВЛ 10 кВ Ф-19 ПС Гродеково
L=10200м</t>
  </si>
  <si>
    <t>ВЛ 10 кВ Ф-5 ПС Осиновая речка
L=5775 м</t>
  </si>
  <si>
    <t>ВЛ 10 кВ Ф-7 ПС Осиновая речка
L=13300 м</t>
  </si>
  <si>
    <t>ВЛ 10 кВ Ф-10 ПС Осиновая речка
L=6800 м</t>
  </si>
  <si>
    <t>ВЛ 10 кВ Ф-15 ПС Бычиха
L=19625 м</t>
  </si>
  <si>
    <t>ВЛ  10 кВ Ф-22 ПС Корфовская
L=16880 м</t>
  </si>
  <si>
    <t>ВЛ  10 кВ Ф-19  ПС Вяземская 
L=28600 м</t>
  </si>
  <si>
    <t>ВЛ  10 кВ Ф-22  ПС Вяземская 
L=11800 м</t>
  </si>
  <si>
    <t>ВЛ  10 кВ Ф-3 ПС Анастасьевка 
L=26050 м</t>
  </si>
  <si>
    <t>КЛ  10 кВ ТП-249 – ТП-1449</t>
  </si>
  <si>
    <t>ТДН-110/10 кВ (10000кВА) 2Т</t>
  </si>
  <si>
    <t xml:space="preserve">2Т ТМТГ-110/10 кВ (5600кВА) </t>
  </si>
  <si>
    <t>HB009315
HB009751</t>
  </si>
  <si>
    <t>1Т ТМН-10000-35/10, 2Т ТМН-10000-35/10</t>
  </si>
  <si>
    <t>ПС 110 кВ Амуркабель</t>
  </si>
  <si>
    <t>ВЛ 6 кВ Ф-17 ПС Горка
L=4570 м</t>
  </si>
  <si>
    <t>КЛ  6 кВ Ф-11 ПС Тополево к ТП-2003</t>
  </si>
  <si>
    <t>ПС 110 кВ Вяземская</t>
  </si>
  <si>
    <t>ПС 35 кВ Дружба</t>
  </si>
  <si>
    <t>НВ008205</t>
  </si>
  <si>
    <t>ПС  35 кВ Шереметьево</t>
  </si>
  <si>
    <t>ПС 35 кВ СРЗ</t>
  </si>
  <si>
    <t>ПС 35 кВ ДВЗОСП</t>
  </si>
  <si>
    <t>КТП-738 с.Глебово</t>
  </si>
  <si>
    <t>КТП-747 с.Шереметьево</t>
  </si>
  <si>
    <t>КТП-932 с.Куклево</t>
  </si>
  <si>
    <t>В 10 яч.№13 2Т</t>
  </si>
  <si>
    <t>3.1.46.</t>
  </si>
  <si>
    <t>Николаевский РЭС</t>
  </si>
  <si>
    <t>СЭС</t>
  </si>
  <si>
    <t>НВ032139
НВ032140
НВ032141</t>
  </si>
  <si>
    <t>КППН; Предписание</t>
  </si>
  <si>
    <t>ВЛ 110 кВ НТЭЦ - Многовершинное (С - 171), НТЭЦ – Белая Гора с отпайкой на ПС Маго (С-172), Белая Гора – Многовершинная (С-174)</t>
  </si>
  <si>
    <t>Наличие кустарника   4 м.</t>
  </si>
  <si>
    <t>Несоответрствие ширины просеки НТД</t>
  </si>
  <si>
    <t>Служба линий</t>
  </si>
  <si>
    <t>НВ007657</t>
  </si>
  <si>
    <t>КППН; Аварии</t>
  </si>
  <si>
    <t>ВЛ 110 кВ Иннокентьевка - Троицкая с отпайкой на ПС Лидога (С-110)</t>
  </si>
  <si>
    <t>Приказ АО ДРСК № 412 от 29.11.2019-О результатах расследования причин массовых отключений объектов электросетевого хозяйства АО «ДРСК</t>
  </si>
  <si>
    <t>Наличие деревьев выше   4 м.</t>
  </si>
  <si>
    <t>Прол оп.№92-97, 106-107, 117-118, 123-124, 126-127, 129-130, 133-134, 140-141, 163-164, 332-333, 334-335, 345-346</t>
  </si>
  <si>
    <t>НВ007688</t>
  </si>
  <si>
    <t>КППН п.1.1</t>
  </si>
  <si>
    <t>ВЛ 110кВ Комсомольская - Хурба -Амурская ТЭЦ (С-71/94-72)</t>
  </si>
  <si>
    <t>Прол оп.№60/7-67/14</t>
  </si>
  <si>
    <t>НВ007636</t>
  </si>
  <si>
    <t>ВЛ 110кВ К- Кедровая (С-73)</t>
  </si>
  <si>
    <t>Прол оп.№86-103</t>
  </si>
  <si>
    <t>НВ007683</t>
  </si>
  <si>
    <t>ВЛ 110кВ К - Солнечная (С-81/82) с отпайкой на ПС Ручей (С-81)</t>
  </si>
  <si>
    <t xml:space="preserve">Прол оп.№3-15,94-95, 140-158, 159-163, </t>
  </si>
  <si>
    <t>Прол оп.№№ 140-157</t>
  </si>
  <si>
    <t>НВ007644</t>
  </si>
  <si>
    <t>ВЛ 110кВ Амурская ТЭЦ - Эльбан (С-87)</t>
  </si>
  <si>
    <t>Прол оп.№30-59</t>
  </si>
  <si>
    <t>Прол оп.№30-59, 24-30, 2-3</t>
  </si>
  <si>
    <t>Оп. № 164</t>
  </si>
  <si>
    <t>НВ007677</t>
  </si>
  <si>
    <t xml:space="preserve">КППН;
</t>
  </si>
  <si>
    <t>ВЛ 110кВ Амурская ТЭЦ - Эльбан с отпайкой на ПС Падали (С-88)</t>
  </si>
  <si>
    <t>Прол оп.№52-59</t>
  </si>
  <si>
    <t xml:space="preserve">
ТехОсв</t>
  </si>
  <si>
    <t xml:space="preserve">Мероприятия, намеченные в Актах по тех.освидетельствованию </t>
  </si>
  <si>
    <t xml:space="preserve">Наклон ж/б опор  </t>
  </si>
  <si>
    <t>Оп. № 65,169,172</t>
  </si>
  <si>
    <t>Оп. № 23,65,169,170,171,172,182</t>
  </si>
  <si>
    <t>Прол оп.№23,182</t>
  </si>
  <si>
    <t>НВ007670</t>
  </si>
  <si>
    <t>ВЛ 110кВ Старт-Солнечная с отпайкой на ПС Ручей (С-103/104)</t>
  </si>
  <si>
    <t>Прол оп.№144-150</t>
  </si>
  <si>
    <t>Прол оп.№144-159</t>
  </si>
  <si>
    <t>Прол оп.№155-156</t>
  </si>
  <si>
    <t>НВ007647</t>
  </si>
  <si>
    <t>ВЛ 110 кВ Селихино - Вознесенская с отпайкой на ПС Озерная (С-105)</t>
  </si>
  <si>
    <t>Прол оп.№18-189, 103-1-21 отпайка на ПС Озерная</t>
  </si>
  <si>
    <t>Прол оп.№1-6, 18-189, 103-1-21 отпайка на ПС Озерная</t>
  </si>
  <si>
    <t>НВ007659</t>
  </si>
  <si>
    <t>ВЛ 110 кВ Вознесенская - Иннокентьевка (С-106)</t>
  </si>
  <si>
    <t xml:space="preserve">Прол оп.№142-147, 157-234, 251-281, </t>
  </si>
  <si>
    <t>НВ007671</t>
  </si>
  <si>
    <t>ВЛ 110кВ Комсомольская - К (С-119/120)</t>
  </si>
  <si>
    <t>Прол оп.№1-4, 8-13</t>
  </si>
  <si>
    <t>Прол оп.№1-13, 31-45</t>
  </si>
  <si>
    <t>НВ007650</t>
  </si>
  <si>
    <t>ВЛ 110 кВ Картель - Гайтер (С-121)</t>
  </si>
  <si>
    <t>НВ007678</t>
  </si>
  <si>
    <t>ВЛ 110 кВ К - Стройдвор (С-79)</t>
  </si>
  <si>
    <t>КППН п.1.1.</t>
  </si>
  <si>
    <t>Прол. Оп.№ 8-13,14-15,34-35,35-36</t>
  </si>
  <si>
    <t>Оп.№ 5,10,30</t>
  </si>
  <si>
    <t>Замена дефектных изоляторов</t>
  </si>
  <si>
    <t>НВ007687</t>
  </si>
  <si>
    <t>КППН,                     Акт Тосв</t>
  </si>
  <si>
    <t xml:space="preserve">КППН п.1.1; Мероприятия, намеченные в Актах по тех.освидетельствованию;  </t>
  </si>
  <si>
    <t>ВЛ 110 кВ ТЭЦ-1 - ТЭЦ-2 (С-83/84)</t>
  </si>
  <si>
    <t>Прол. Оп.№ 1-4,5-7,9-11,17-20,26-27,28-29,32-33</t>
  </si>
  <si>
    <t>Прол. Оп.№ 15-17,32-33</t>
  </si>
  <si>
    <t>С-83:Оп.№ 5,9,10,25.  С-84:Оп.№ 3,5,18,28</t>
  </si>
  <si>
    <t>С-83: Оп.№ 11,12,15,22</t>
  </si>
  <si>
    <t>Замена полимерных изоляторов на стеклянные</t>
  </si>
  <si>
    <t>C-83</t>
  </si>
  <si>
    <t>C-84</t>
  </si>
  <si>
    <t>НВ007681</t>
  </si>
  <si>
    <t>Акт Тосв</t>
  </si>
  <si>
    <t xml:space="preserve">Мероприятия, намеченные в Актах по тех.освидетельствованию;  </t>
  </si>
  <si>
    <t>ВЛ 110 кВ Солнечная - Молодёжная, с отпайкой на ПС ЦОФ (С-91/92)</t>
  </si>
  <si>
    <t>С-91</t>
  </si>
  <si>
    <t>Оп.№ 11</t>
  </si>
  <si>
    <t xml:space="preserve">Замена дефектных изоляторов </t>
  </si>
  <si>
    <t>С-91: Оп.№ 15,16,19,31,32,33,34,37,38,39,40,41,45,47,   49,53,55,56</t>
  </si>
  <si>
    <t>Замена полимерных изоляторовна стеклянные</t>
  </si>
  <si>
    <t>НВ007651</t>
  </si>
  <si>
    <t>ВЛ 110 кВ Старт - НПЗ-110 - Т (С-97/102-98) с отпайками на ПС КСК (С-97/102), ПС Байкальская (С-97/98)</t>
  </si>
  <si>
    <t>Прол. Оп.№ 24-25</t>
  </si>
  <si>
    <t>Ремонт провода (рем. зажим)</t>
  </si>
  <si>
    <t>Прол. Оп.№ 32-33</t>
  </si>
  <si>
    <t xml:space="preserve">Ремонт грозотроса (бандаж) </t>
  </si>
  <si>
    <t>Оп.№ 56</t>
  </si>
  <si>
    <t>Присоединение грозотроса к опоре</t>
  </si>
  <si>
    <t>Оп.№ 33,79</t>
  </si>
  <si>
    <t>Установка поддерж.зажима  на грозотрос</t>
  </si>
  <si>
    <t>С-97</t>
  </si>
  <si>
    <t>С-98</t>
  </si>
  <si>
    <t>С-102</t>
  </si>
  <si>
    <t>НВ007664</t>
  </si>
  <si>
    <t>ВЛ 110 кВ ТЭЦ-3 - К с отпайкой га ПС ГПП-5  (С-117/118)</t>
  </si>
  <si>
    <t>С-117</t>
  </si>
  <si>
    <t>Оп.№ 10</t>
  </si>
  <si>
    <t>Соединение (сварка) провода в шлейфах</t>
  </si>
  <si>
    <t>Прол. Оп.№ 7-8</t>
  </si>
  <si>
    <t>Ремонт грозотроса (бандаж)</t>
  </si>
  <si>
    <t>1.23.</t>
  </si>
  <si>
    <t>НВ032139   НВ032140</t>
  </si>
  <si>
    <t>ВЛ 110 кВ Николаевск - Многовершинная (С-171, С-172)</t>
  </si>
  <si>
    <t xml:space="preserve">Замена дефектных стеклянных изоляторов </t>
  </si>
  <si>
    <t>Замена гирлянды подвесных изоляторов</t>
  </si>
  <si>
    <t>1.24.</t>
  </si>
  <si>
    <t>1.25.</t>
  </si>
  <si>
    <t>НВ032139
НВ032140</t>
  </si>
  <si>
    <t>ЦП</t>
  </si>
  <si>
    <t>Целевая программа по установке на ВЛ птицезащитных устройств и систем усиления изоляции на 2021г</t>
  </si>
  <si>
    <t>ВЛ 110 кВ НТЭЦ - Многовершинное (С - 171), Белая Гора – Многовершинная (С-172)</t>
  </si>
  <si>
    <t>Отсутствие ПЗУ</t>
  </si>
  <si>
    <t>Оп. № № 21г – 43г, 1-17</t>
  </si>
  <si>
    <t>Установка ПЗУ</t>
  </si>
  <si>
    <t xml:space="preserve">НВ007669 </t>
  </si>
  <si>
    <t>ВЛ 110 кВ Горная - Перевальная (С-112)</t>
  </si>
  <si>
    <t>Прол оп.№1-19</t>
  </si>
  <si>
    <t>Прол оп.№2-3</t>
  </si>
  <si>
    <t>НВ007638</t>
  </si>
  <si>
    <t>ВЛ 35 кВ Хурба - Болин (Т-181)</t>
  </si>
  <si>
    <t>Прол оп.№17-30</t>
  </si>
  <si>
    <t>Прол оп.№1-10, 13-30, 39-42</t>
  </si>
  <si>
    <t>НВ007626</t>
  </si>
  <si>
    <t xml:space="preserve">ВЛ 35 кВ Березовый - Дуки (Т-197)
</t>
  </si>
  <si>
    <t>Прол оп.№1-17,18-33, 34-36, 37-111</t>
  </si>
  <si>
    <t>НВ007627</t>
  </si>
  <si>
    <t>ВЛ 35 кВ Березовая - Бриакан (Т-198), отпайка на ПС Главный Стан</t>
  </si>
  <si>
    <t>КомРЭС</t>
  </si>
  <si>
    <t>Комсомольский участок</t>
  </si>
  <si>
    <t>НВ005929</t>
  </si>
  <si>
    <t>КЛ 35 кВ ЭТЗ - Кабельный киоск ЭТЗ ( Т-160)</t>
  </si>
  <si>
    <t>КОН-35</t>
  </si>
  <si>
    <t>КНтп-35-150</t>
  </si>
  <si>
    <t>НВ029446</t>
  </si>
  <si>
    <t>КЛ 35 кВ ЭТЗ - Кабельный киоск ЭТЗ ( Т-161)</t>
  </si>
  <si>
    <t>НВ005728</t>
  </si>
  <si>
    <t>КЛ 35 кВ Совхоз Комсомольский - Кабельный киоск ( Т-183)</t>
  </si>
  <si>
    <t xml:space="preserve"> </t>
  </si>
  <si>
    <t>КНтп-35-120</t>
  </si>
  <si>
    <t>НВ005749</t>
  </si>
  <si>
    <t>КЛ 35 кВ Байкальская - Б ( Т-185)</t>
  </si>
  <si>
    <t>НВ029443</t>
  </si>
  <si>
    <t>КЛ 35 кВ Байкальская - Б ( Т-186)</t>
  </si>
  <si>
    <t>СГРЭС</t>
  </si>
  <si>
    <t>HB003575</t>
  </si>
  <si>
    <t>ВЛ 35 кВ Окоча - Центральная (Т24Ф)</t>
  </si>
  <si>
    <t>Прол оп.№ 7-8, 9-12</t>
  </si>
  <si>
    <t>Наличие сколов</t>
  </si>
  <si>
    <t>Оп. № 6</t>
  </si>
  <si>
    <t>Замена  поврежденных изоляторов</t>
  </si>
  <si>
    <t>ВЛ 35 кВ Окоча - Кислородная (Т25Ф)</t>
  </si>
  <si>
    <t>Прол оп.№ 17-18, 26-35</t>
  </si>
  <si>
    <t>Оп. № 15, 24</t>
  </si>
  <si>
    <t>Плашечное соединение</t>
  </si>
  <si>
    <t>Оп. № 9, 13 15</t>
  </si>
  <si>
    <t>Сварка шлейфов</t>
  </si>
  <si>
    <t>ЧРЭС</t>
  </si>
  <si>
    <t>HB007098</t>
  </si>
  <si>
    <t>ВЛ 35 кВ Ургал-Ургальская ЦЭС с отпайкой на ПС Чегдомын (Т-301-302)</t>
  </si>
  <si>
    <t>Прол оп.№ 26-33</t>
  </si>
  <si>
    <t>НВ007652</t>
  </si>
  <si>
    <t>КППН, Акт Тосв</t>
  </si>
  <si>
    <t>ВЛ 35 кВ ТЭЦ-2- Кабельный киоск ЭТЗ с отпайкой на ПС Багерная  (Т-160)</t>
  </si>
  <si>
    <t>Прол. Оп.№ 7-9,10-12,19-21,отп.на ПС Баг.№17-ПС</t>
  </si>
  <si>
    <t>Га</t>
  </si>
  <si>
    <t>Оп.№ 4,17</t>
  </si>
  <si>
    <t>Прол. Оп.№ 1-2</t>
  </si>
  <si>
    <t xml:space="preserve">Обрезка крон деревьев </t>
  </si>
  <si>
    <t>Прол. Оп.№ 7-9, 21-ПС</t>
  </si>
  <si>
    <t xml:space="preserve">Валка деревьев </t>
  </si>
  <si>
    <t>Оп.№ 15</t>
  </si>
  <si>
    <t xml:space="preserve">Установка фундамента для устройства оттяжки ж/б опоры </t>
  </si>
  <si>
    <t>Прол. Оп.№ 12-13</t>
  </si>
  <si>
    <t>Оп.№ 12,16</t>
  </si>
  <si>
    <t>оп</t>
  </si>
  <si>
    <t>2.13.</t>
  </si>
  <si>
    <t>ВЛ 35 кВ ТЭЦ-1- Кабельный киоск ЭТЗ   (Т-161)</t>
  </si>
  <si>
    <t>Оп.№ 2,12,18,22,24,27,31</t>
  </si>
  <si>
    <t>2.14.</t>
  </si>
  <si>
    <t>НВ007643</t>
  </si>
  <si>
    <t>КППН,                   Акт Тосв</t>
  </si>
  <si>
    <t xml:space="preserve">КППН п.1.1;Мероприятия, намеченные в Актах по тех.освидетельствованию;  </t>
  </si>
  <si>
    <t>ВЛ 35 кВ ТН - Ц с отпайкой на ПС ЛПБ  (Т-162)</t>
  </si>
  <si>
    <t>Прол. Оп.№ 1-2,2-4,4-5,5-7,8-9,9-10,14-15,16-17,17-18,18-19,отп.на ПС ЛПБ Оп№. 1-3,14-15,16-18,20-22,26-29-ПС</t>
  </si>
  <si>
    <t>Оп.№ 16,24</t>
  </si>
  <si>
    <t>Прол. Оп.№ 1-2,10-11,11-12,12-13,13-14,15-16,18-19</t>
  </si>
  <si>
    <t>Оп.№ 17,25</t>
  </si>
  <si>
    <t>Установка поддерж.зажима на провод</t>
  </si>
  <si>
    <t>Прол. Оп.№ 17-18,21-22</t>
  </si>
  <si>
    <t>Ремонт провода (бандаж)</t>
  </si>
  <si>
    <t>Оп.№ 27</t>
  </si>
  <si>
    <t>Монтаж заземляющего устройства опоры</t>
  </si>
  <si>
    <t>Оп.№ 22-23</t>
  </si>
  <si>
    <t xml:space="preserve">Выправка опор </t>
  </si>
  <si>
    <t>2.15.</t>
  </si>
  <si>
    <t>КППН,по состоянию</t>
  </si>
  <si>
    <t>ВЛ 35 кВ ТЭЦ-1 - Западная  (Т-163/174)</t>
  </si>
  <si>
    <t>Т-163: Оп.№ 17,32;  Т-174:Оп.№ 15,17,32,35,37,38</t>
  </si>
  <si>
    <t>2.16.</t>
  </si>
  <si>
    <t>НВ007694</t>
  </si>
  <si>
    <t>ВЛ 35 кВ ТЭЦ-1 - Таёжная  (Т-166)</t>
  </si>
  <si>
    <t>Прол. Оп.№ 2-3,15-17,24-25,34-35,35-37</t>
  </si>
  <si>
    <t>Оп.№ 46,47</t>
  </si>
  <si>
    <t>Прол. Оп.№ 1-2,34-35</t>
  </si>
  <si>
    <t xml:space="preserve">Валка угрожающих деревьев </t>
  </si>
  <si>
    <t>2.17.</t>
  </si>
  <si>
    <t>НВ007690</t>
  </si>
  <si>
    <t>ВЛ 35 кВ ТЭЦ-2 - ТН  (Т-167)</t>
  </si>
  <si>
    <t>Прол. Оп.№ 12-15,16-19,25-ПС</t>
  </si>
  <si>
    <t>Прол. Оп.№ 12-13,17-18,19-20,23-26</t>
  </si>
  <si>
    <t>2.18.</t>
  </si>
  <si>
    <t>НВ007645</t>
  </si>
  <si>
    <t>КППН,                 Акт Тосв</t>
  </si>
  <si>
    <t>ВЛ 35 кВ Т - НПЗ  (Т-169)</t>
  </si>
  <si>
    <t>Оп.№ 13,21</t>
  </si>
  <si>
    <t>Ручная расчистка банкеток</t>
  </si>
  <si>
    <t>Оп.№ 23,24</t>
  </si>
  <si>
    <t>Прол. Оп.№ 12-14,23-25</t>
  </si>
  <si>
    <t>2.19.</t>
  </si>
  <si>
    <t>НВ007691</t>
  </si>
  <si>
    <t>КППН,По состоянию</t>
  </si>
  <si>
    <t>ВЛ 35 кВ Западная - Байкальская                             (Т-171)</t>
  </si>
  <si>
    <t>Прол. Оп.№ 2-3,4-10,11-13,16-24,25-28,37-38</t>
  </si>
  <si>
    <t>Оп.№ 22,33,36</t>
  </si>
  <si>
    <t>Оп.№ 15,18</t>
  </si>
  <si>
    <t>2.20.</t>
  </si>
  <si>
    <t>НВ007679</t>
  </si>
  <si>
    <t>ВЛ 35 кВ Красная - Западная с отпайкой на ПС ПТО  (Т-173)</t>
  </si>
  <si>
    <t>Прол. Оп.№ 1-7,8-9,17-19,27-32</t>
  </si>
  <si>
    <t>Оп.№ 5,7,17</t>
  </si>
  <si>
    <t>Прол. Оп.№ 8-9,16-17,17-18</t>
  </si>
  <si>
    <t>Прол. Оп.№ 8-9,28-29,31-32,38-39</t>
  </si>
  <si>
    <t>Валка угрожающих деревьев</t>
  </si>
  <si>
    <t>Прол. Оп.№ 3-4</t>
  </si>
  <si>
    <t>Ремонт провода (рем.зажим)</t>
  </si>
  <si>
    <t>2.21.</t>
  </si>
  <si>
    <t>НВ007685</t>
  </si>
  <si>
    <t>Прол. Оп.№ 32-33,36-39</t>
  </si>
  <si>
    <t>2.22.</t>
  </si>
  <si>
    <t>Прол. Оп.№ 4-5,5-ПС</t>
  </si>
  <si>
    <t>2.23.</t>
  </si>
  <si>
    <t>НВ007641</t>
  </si>
  <si>
    <t>Оп.№ 18,21,23</t>
  </si>
  <si>
    <t xml:space="preserve">Замена дефектных изоляторов  </t>
  </si>
  <si>
    <t>Оп.№ 7,13,21,29,42</t>
  </si>
  <si>
    <t>Выправка изолирующей  поддерживающей подвески</t>
  </si>
  <si>
    <t>оп.</t>
  </si>
  <si>
    <t>2.24.</t>
  </si>
  <si>
    <t>НВ007675</t>
  </si>
  <si>
    <t>Оп.№ 17,32</t>
  </si>
  <si>
    <t>Оп.№ 33</t>
  </si>
  <si>
    <t>Установка поддерж.зажима на опоре</t>
  </si>
  <si>
    <t>2.25.</t>
  </si>
  <si>
    <t>НВ007674</t>
  </si>
  <si>
    <t>Оп.№ 9,23,30,31,65,66</t>
  </si>
  <si>
    <t>Оп.№ 68</t>
  </si>
  <si>
    <t>2.26.</t>
  </si>
  <si>
    <t>НВ007655</t>
  </si>
  <si>
    <t>Прол. Оп.№ 4-5,38-40</t>
  </si>
  <si>
    <t>Оп.№ 56,61,71,106</t>
  </si>
  <si>
    <t>2.27.</t>
  </si>
  <si>
    <t>СП СЭС</t>
  </si>
  <si>
    <t>HB034477</t>
  </si>
  <si>
    <t>ВЛ 35 кВ АТЭЦ - Центральная (Т-225, Т-227) L=1730м</t>
  </si>
  <si>
    <t>пролёты Оп. №2-3, 3-4, 5-6, 6-7,7-8, 8-9, 9-10, 10-11,15-16,16-17,17-18.</t>
  </si>
  <si>
    <t>2.28.</t>
  </si>
  <si>
    <t>HB003557</t>
  </si>
  <si>
    <t xml:space="preserve">ВЛ 35 кВ Тишкино-Южная (Т6Ф)
</t>
  </si>
  <si>
    <t xml:space="preserve">Прол оп.№2-4, № 13-16 </t>
  </si>
  <si>
    <t>Прол оп.№2-4, № 10-16 , 20-23</t>
  </si>
  <si>
    <t>2.29.</t>
  </si>
  <si>
    <t>НВ003540</t>
  </si>
  <si>
    <t xml:space="preserve">ВЛ 35 кВ Ванино-Тишкино (Т8Ф)
</t>
  </si>
  <si>
    <t xml:space="preserve">Прол оп.№11-12, № 13-17, № 19-25 </t>
  </si>
  <si>
    <t>2.30.</t>
  </si>
  <si>
    <t>НВ003568</t>
  </si>
  <si>
    <t>ВЛ 35 кВ Южная- Лесозаводская (Т11Ф)</t>
  </si>
  <si>
    <t xml:space="preserve">Прол оп.№2-5 </t>
  </si>
  <si>
    <t>2.31.</t>
  </si>
  <si>
    <t>HB003562</t>
  </si>
  <si>
    <t xml:space="preserve">ВЛ 35 кВ РП-4- Лесозаводская (Т10Ф)
</t>
  </si>
  <si>
    <t>Прол оп.№25-29</t>
  </si>
  <si>
    <t>2.32.</t>
  </si>
  <si>
    <t xml:space="preserve">ВЛ 35 кВ Майская ГРЭС – РП-4 (Т4Ф)
</t>
  </si>
  <si>
    <t xml:space="preserve">Прол оп.№ 8-21 </t>
  </si>
  <si>
    <t>Прол оп.№ 8-31</t>
  </si>
  <si>
    <t>2.33.</t>
  </si>
  <si>
    <t>HB003566</t>
  </si>
  <si>
    <t xml:space="preserve">ВЛ 35 кВ Майская ГРЭС - Южная (Т5Ф)
</t>
  </si>
  <si>
    <t xml:space="preserve">НВ031932 </t>
  </si>
  <si>
    <t>Предписание,
ЦП</t>
  </si>
  <si>
    <t>Приказ № 698 от 08.12.15 "О вводе актуализированной программы по оптимизации работ в Николаевском РЭС"  Приложение 2-новой формы (актуализированная прграмма по приведению сетей 0,4-110 кВ НРЭС по письму АО ДРСК от 30.01.17 № 08-02/08-25/143),
Целевая программа по установке на ВЛ птицезащитных устройств и систем усиления изоляции на 2021г</t>
  </si>
  <si>
    <t>ВЛ 6 кВ Ф-9 НТЭЦ</t>
  </si>
  <si>
    <t>КРЭС</t>
  </si>
  <si>
    <t>HB005744</t>
  </si>
  <si>
    <t>Аварии</t>
  </si>
  <si>
    <t>Акт №252 от 16.05.19</t>
  </si>
  <si>
    <t>ВЛ 10 кВ Ф-8 ПС Пивань
L=3214м</t>
  </si>
  <si>
    <t>Оп. № 10/1</t>
  </si>
  <si>
    <t>Оп. № 17,18,19</t>
  </si>
  <si>
    <t>Установка разрядников</t>
  </si>
  <si>
    <t>HB005949</t>
  </si>
  <si>
    <t>Предписание</t>
  </si>
  <si>
    <t>Протокол ХЭС № 14-Д от  24.10.2018г  пункт № 18 - о потребности установки ОПН на КВЛ-6-10 кВ для снижения повреждаемости КЛ 6-10 кВ в грозовой период.</t>
  </si>
  <si>
    <t>ВЛ 6 кВ Ф-19 ПС Северная
L=4131м</t>
  </si>
  <si>
    <t>Оп. № 37</t>
  </si>
  <si>
    <t>HB005675</t>
  </si>
  <si>
    <t>ВЛ 6 кВ Ф-1 ПС Северная
L=6430м</t>
  </si>
  <si>
    <t>Оп. № 1, 52/2, 75</t>
  </si>
  <si>
    <t>HB005939</t>
  </si>
  <si>
    <t>ВЛ 6 кВ Ф-5 ТП-293 ТП-383
L=643м</t>
  </si>
  <si>
    <t>Оп. № 1, 13</t>
  </si>
  <si>
    <t>HB005715</t>
  </si>
  <si>
    <t>ВЛ 6 кВ Ф-7 ЦРП-24
L=5379м</t>
  </si>
  <si>
    <t>Оп. № 1</t>
  </si>
  <si>
    <t>HB007694</t>
  </si>
  <si>
    <t>ВЛ 6 кВ Ф-17 ПС К
L=1272м</t>
  </si>
  <si>
    <t>Оп. № 1,8</t>
  </si>
  <si>
    <t>HB005947</t>
  </si>
  <si>
    <t>ВЛ 6 кВ Ф-18 ПС К
L=2705м</t>
  </si>
  <si>
    <t>Оп. № 1,23</t>
  </si>
  <si>
    <t>HB037025
НВ005952</t>
  </si>
  <si>
    <t>Аварии, Письмо</t>
  </si>
  <si>
    <t>ВЛ 6 кВ Ф-4 ТП-316-303
L=17689м</t>
  </si>
  <si>
    <t>HB037025</t>
  </si>
  <si>
    <t>Акт №№ 262 от 23.05.19</t>
  </si>
  <si>
    <t>Оп. № 104,105,106</t>
  </si>
  <si>
    <t>НВ005952</t>
  </si>
  <si>
    <t>Письмо</t>
  </si>
  <si>
    <t>Письмо ДРСК от 20.01.2020 №64 "О принятии в работу нормативного объема работ по чистке просек"</t>
  </si>
  <si>
    <t>Оп.№ 24/5 - 24/6, 53 - 54, 65 - 66, 103 - 104, 142 - 143, 150 - 151, 175 - 178, 181 - 183, 230 - 232, 160/1 - 160/3, 160/4 - 160/6, 160/10 - 160/12.</t>
  </si>
  <si>
    <t>Расчистка просек вручную</t>
  </si>
  <si>
    <t>HB003543</t>
  </si>
  <si>
    <t>ВЛ 10 кВ Д3Ф ПС Тишкино
L=5600м</t>
  </si>
  <si>
    <t>Оп. № 5-10, 14-19, 21-59, 64-67</t>
  </si>
  <si>
    <t>СолРЭС</t>
  </si>
  <si>
    <t>МГ</t>
  </si>
  <si>
    <t>Ведомости загнивания</t>
  </si>
  <si>
    <t>HB033630</t>
  </si>
  <si>
    <t>ВЛ 6 кВ Ф-6 ПС Бриакан
  L=6766м</t>
  </si>
  <si>
    <t>Оп. №  43-50</t>
  </si>
  <si>
    <t>Оп. № 43-50</t>
  </si>
  <si>
    <t>Оп. № 42-50</t>
  </si>
  <si>
    <t>HB007097</t>
  </si>
  <si>
    <t>ВЛ 6 кВ Ф-7 ПС Чегдомын
  L=13605м</t>
  </si>
  <si>
    <t>Оп. №  8-29, 9а-29а, 27в-33в, 22в-26в, 42в-46в</t>
  </si>
  <si>
    <t>HB005907</t>
  </si>
  <si>
    <t>ВЛ 10 кВ Ф-9 ПС Хурба
  L=5607м</t>
  </si>
  <si>
    <t>Оп. №  1-30, 31-33</t>
  </si>
  <si>
    <t>Расчистка просек механизмами</t>
  </si>
  <si>
    <t>HB005737</t>
  </si>
  <si>
    <t>ВЛ 10 кВ Ф-18 ПС Азимут
  L=4330м</t>
  </si>
  <si>
    <t>Оп. №  1-8, 9-43</t>
  </si>
  <si>
    <t>HB007658</t>
  </si>
  <si>
    <t>ВЛ 10 кВ Ф-1 ПС Водозабор
  L=7052м</t>
  </si>
  <si>
    <t>Оп. №  60-65, 65/10-65/11</t>
  </si>
  <si>
    <t>HB005723</t>
  </si>
  <si>
    <t>ВЛ 6 кВ Ф-2 ПС Кирзавод
  L=3502м</t>
  </si>
  <si>
    <t>Оп. №  29-31, 40-44</t>
  </si>
  <si>
    <t>ВЛ 6 кВ Ф-19 ПС Северная
  L=4131м</t>
  </si>
  <si>
    <t>Оп. №  10 - 19, 30 - 32, 39 - 40, 45 - 46, 57 - 60.</t>
  </si>
  <si>
    <t>Банкетки Оп. №  10 - 19, 30 - 32, 39 - 40, 45 - 46, 57 - 60.</t>
  </si>
  <si>
    <t>HB005899</t>
  </si>
  <si>
    <t>ВЛ 10 кВ Ф-20 ПС КСК
  L=5179м</t>
  </si>
  <si>
    <t xml:space="preserve"> Оп. №  8-11, 13-15, 42-44, 51/21-51/22</t>
  </si>
  <si>
    <t>HB005952</t>
  </si>
  <si>
    <t>КВЛ 6 кВ Ф-4 ТП-316-303 ввод в ТП-323
  L=25м</t>
  </si>
  <si>
    <t>Оп. №  4-07/6</t>
  </si>
  <si>
    <t>HB005692</t>
  </si>
  <si>
    <t>КВЛ 10 кВ Ф-18 ПС Хурба ввод в ТП-336
  L=30м</t>
  </si>
  <si>
    <t>Оп. №  50</t>
  </si>
  <si>
    <t>HB005717</t>
  </si>
  <si>
    <t>КЛ 10 кВ Ф-20 ПС КСК ввод в ТП-501
  L=210м</t>
  </si>
  <si>
    <t>Оп. №  76</t>
  </si>
  <si>
    <t>HB005718</t>
  </si>
  <si>
    <t>КВЛ 10 кВ Ф-20 ПС КСК вывод на оп.№ 1
  L=96м</t>
  </si>
  <si>
    <t>Оп. №  1</t>
  </si>
  <si>
    <t>HB034712</t>
  </si>
  <si>
    <t>По состоянию, Письмо</t>
  </si>
  <si>
    <t>ВЛ 6 кВ Ф-1 КТПН730-КТП Жемчужина L=1977м</t>
  </si>
  <si>
    <t xml:space="preserve">Оп. №1-00/1. 1-00/2.             </t>
  </si>
  <si>
    <t>Оп. №1-00/1</t>
  </si>
  <si>
    <t>Установка изоляторов</t>
  </si>
  <si>
    <t>Оп. №1-00/1, 1-01/1</t>
  </si>
  <si>
    <t>Установка ОПН</t>
  </si>
  <si>
    <t>Оп. №1-00/1 - 1-00/12, 1-00/13 - 1-00/15.</t>
  </si>
  <si>
    <t>HB034480</t>
  </si>
  <si>
    <t>ВЛ 6 кВ Ф-2,6 ПС Центральная-ТП ЮГ   L=991 м</t>
  </si>
  <si>
    <t>Оп. №2,6-00/1 - 2,6-00/5, 2,6-00/6 - 2,6-00/7.</t>
  </si>
  <si>
    <t>HB005301</t>
  </si>
  <si>
    <t>Письмо, по состоянию</t>
  </si>
  <si>
    <t>ВЛ 10 кВ Ф-9 ПС Литовко 
L=6716 м</t>
  </si>
  <si>
    <t>Оп. №9-03/15, № 9-03/16, 9-03/21</t>
  </si>
  <si>
    <t>Оп. № 9-00/65, 9-00/66, 9-00/75, 9-00/42, 9-02/1, 9-02/2, 9-02/3, 9-00/70, 9-00/71, 9-00/76, 9-00/77, 9-00/78</t>
  </si>
  <si>
    <t xml:space="preserve">Замена опор </t>
  </si>
  <si>
    <t>Пролеты между опорами не соответствует требованиям ПУЭ</t>
  </si>
  <si>
    <t>Оп. № 9-00/62 - 9-00/65; № 9-00/66 - 9-00/78</t>
  </si>
  <si>
    <t>Оп. №9-03/14 - 9-03/21</t>
  </si>
  <si>
    <t>HB034653</t>
  </si>
  <si>
    <t>ВЛ 6 кВ Ф-1 ПС Падали
L= 6054м</t>
  </si>
  <si>
    <t>Оп. №1-00/42, 1-00/43, 1-00/83, 1-00/53</t>
  </si>
  <si>
    <t>Оп. № 1-00/1, 1-00/11.</t>
  </si>
  <si>
    <t>Монтаж  ОПН</t>
  </si>
  <si>
    <t>HB034929</t>
  </si>
  <si>
    <t>Мероприятия по приказуАО «ДРСК» от 29.11.2019 № 412 «О выполнении требований приказа ПАО «РусГидро» от 19.11.2019 № 948 «О результатах расследования причин массовых отключений объектов электросетевого хозяйства АО «ДРСК»»</t>
  </si>
  <si>
    <t>ВЛ 10 кВ Ф-16 ПС Литовко
L= 16704м</t>
  </si>
  <si>
    <t>Оп. № 16-00/167, 16-00/169,16-00/170, 16-00/171, 16-00/187</t>
  </si>
  <si>
    <t>Оп. №16-00/160 - 16-00/180, 16-00/230 - 16-00/240</t>
  </si>
  <si>
    <t>Оп. № 16-00/62,16-00/152,16-00/221</t>
  </si>
  <si>
    <t>Установка Индикатор повреждения</t>
  </si>
  <si>
    <t>HB034641</t>
  </si>
  <si>
    <t>ВЛ 10 кВ Ф-22 ПС Городская - КТПН Орбита
L= 5447м</t>
  </si>
  <si>
    <t xml:space="preserve">Оп. № 22-0/9, 22-0/53, № 22-0/66 </t>
  </si>
  <si>
    <t>HB006923
HB039531</t>
  </si>
  <si>
    <t>ВЛ 10 кВ Ф-6,23 ПС Болин
L=8138 м</t>
  </si>
  <si>
    <t>Оп. № 46/6 - 46/8, 46/12 - 46/15, 46/19 - 46/22.</t>
  </si>
  <si>
    <t>Оп. № 6-00/16 - 6-00/19.</t>
  </si>
  <si>
    <t>Оп. №46/28, 6-00/16</t>
  </si>
  <si>
    <t>Оп. № 46/28</t>
  </si>
  <si>
    <t>Оп. № 46/2, 46/3, 46/6, 6-00/17,6-00/16</t>
  </si>
  <si>
    <t xml:space="preserve">Установка опор  </t>
  </si>
  <si>
    <t>HB034648</t>
  </si>
  <si>
    <t>ВЛ 6 кВ Ф-22 ПС ЛДК-мехочистка
L= 318м</t>
  </si>
  <si>
    <t xml:space="preserve">Оп. №22-0/1, </t>
  </si>
  <si>
    <t>Оп. № 22-0/4, 22-0/5.</t>
  </si>
  <si>
    <t>Оп. № 22-0/1</t>
  </si>
  <si>
    <t>ВЛ 10 кВ Ф-10 ПС Литовко
L=3966 м</t>
  </si>
  <si>
    <t>Оп. № 10-00/45, 10-00/5; 10-00/8 - 10-00/11; 10-00/40; 10-00/49; 10-02/1 - 10-02/3</t>
  </si>
  <si>
    <t>Оп. №10-00/39 - 10-02/7; 10-00/45 - 10-03/3</t>
  </si>
  <si>
    <t>HB034620</t>
  </si>
  <si>
    <t>ВЛ 10 кВ Ф-3 ТП32-КТПН6-КТПН7
L= 631м</t>
  </si>
  <si>
    <t>Оп. № 3-00/2 - 3-00/5, 3-00/1; 3-00/6</t>
  </si>
  <si>
    <t>Оп. № 3-00/6</t>
  </si>
  <si>
    <t>Установка подкоса</t>
  </si>
  <si>
    <t>Оп. № 3-00/1; 3-00/6, 3-00/14.</t>
  </si>
  <si>
    <t>Оп.№ 3-00/13</t>
  </si>
  <si>
    <t>Оп.№ 3-00/6</t>
  </si>
  <si>
    <t>ВЛ 10 кВ Ф-4 ПС Литовко-Лесной
L= 7421м</t>
  </si>
  <si>
    <t>Оп. № 4-00/1, 4-00/103.</t>
  </si>
  <si>
    <t xml:space="preserve">Устройство заземляющего спуска </t>
  </si>
  <si>
    <t>ВЛ 10 кВ Ф-6 КРУН Санболи
L= 1623м</t>
  </si>
  <si>
    <t>Оп. № 6-00/11, 6-00/24.</t>
  </si>
  <si>
    <t>ВЛ 10 кВ Ф-7 ПС Болин
L= 3270м</t>
  </si>
  <si>
    <t>Оп. № 7-00/42, 7-00/57.</t>
  </si>
  <si>
    <t xml:space="preserve">HB034489
HB034490 </t>
  </si>
  <si>
    <t>по обращению теплосетей</t>
  </si>
  <si>
    <t>КЛ 6 кВ КТПН 1-ЗРУ ПНС , КЛ 6 кВ КТПН 2-ЗРУ ПНС
L= 1200м</t>
  </si>
  <si>
    <t>Лоток железобетонный, ЛК75.45.30-1  740х430х280мм -55 шт,
Лоток железобетонный, П1-5 740х420х50мм - 55 шт.</t>
  </si>
  <si>
    <t>Устройство лотка  для  кабелей</t>
  </si>
  <si>
    <t>ААШв-10 3х150- 0,02 км,
ААШв-10 3х120 - 0,01 км</t>
  </si>
  <si>
    <t>Стп-10 150/240, - 4 шт.
Стп -10 70/120 - 2 шт.</t>
  </si>
  <si>
    <t>HB033737</t>
  </si>
  <si>
    <t>КЛ 6 кВ ТП-9 - ТП-13
L= 300м</t>
  </si>
  <si>
    <t>Стп -10 70/120- 1 шт.
КНтпН-10 70/120- 2 шт.</t>
  </si>
  <si>
    <t>закрытие кабеля кожухом</t>
  </si>
  <si>
    <t>м.</t>
  </si>
  <si>
    <t>HB034169</t>
  </si>
  <si>
    <t>КЛ 6 кВ ТП-60 - 2Т
L= 20 м</t>
  </si>
  <si>
    <t>КВтп -10 35/50</t>
  </si>
  <si>
    <t>HB033685</t>
  </si>
  <si>
    <t>КЛ 6 кВ ТП-3 - ТП-61
L= 150м</t>
  </si>
  <si>
    <t>КВтп-10 150/240</t>
  </si>
  <si>
    <t>HB033761</t>
  </si>
  <si>
    <t>КЛ 6 кВ ТП-16 - ТП-18
L= 1000м</t>
  </si>
  <si>
    <t>HB033828</t>
  </si>
  <si>
    <t>КЛ 6 кВ ТП-21 - ТП-45
L= 249м</t>
  </si>
  <si>
    <t>КВтп -10 70/120</t>
  </si>
  <si>
    <t>HB033832</t>
  </si>
  <si>
    <t>КЛ 6 кВ ТП-22 - ТП-60
L= 420м</t>
  </si>
  <si>
    <t>HB033999</t>
  </si>
  <si>
    <t>КЛ 6 кВ ТП-42 - ТП-60
L= 215м</t>
  </si>
  <si>
    <t>HB033728</t>
  </si>
  <si>
    <t>КЛ 6 кВ ТП45 - ЦРП3
L= 480м</t>
  </si>
  <si>
    <t>HB034182</t>
  </si>
  <si>
    <t>КЛ 10 кВ ТП-61 - 3Т
L= 20м</t>
  </si>
  <si>
    <t>HB033873</t>
  </si>
  <si>
    <t>КЛ 6 кВ ТП-24 - ТП-25
L= 275м</t>
  </si>
  <si>
    <t>HB039531</t>
  </si>
  <si>
    <t>КЛ 10 кВ от ВЛ 10 кВ Ф-6 ПС Болин - КТПН Подгорное
L= 14м</t>
  </si>
  <si>
    <t>КНтпН-10 70/120</t>
  </si>
  <si>
    <t>HB034449</t>
  </si>
  <si>
    <t>КЛ-10 кВ  опора №5-00 /1 ВЛ-10 кВ ф-5 ТП92-КТПН40
L= 238м</t>
  </si>
  <si>
    <t>ЭРЭС</t>
  </si>
  <si>
    <t>HB006919</t>
  </si>
  <si>
    <t>Письмо; Аварии</t>
  </si>
  <si>
    <t>КВЛ 6 кВ Ф-24 ПС Приусадебная  
L=32310 м</t>
  </si>
  <si>
    <t>Прол. оп.№150-170</t>
  </si>
  <si>
    <t>Прол. оп.№150-155, 157-166</t>
  </si>
  <si>
    <t>мероприятия по приказуАО «ДРСК» от 29.11.2019 № 412 «О выполнении требований приказа ПАО «РусГидро» от 19.11.2019 № 948 «О результатах расследования причин массовых отключений объектов электросетевого хозяйства АО «ДРСК»»</t>
  </si>
  <si>
    <t>Оп. №101, 199,321 Установка ИПВЛ</t>
  </si>
  <si>
    <t>Установка индикаторов повреждения ВЛ</t>
  </si>
  <si>
    <t>НВ006919</t>
  </si>
  <si>
    <t>КВЛ 6 кВ Ф-24 ПС Эльбан  
L=32310 м</t>
  </si>
  <si>
    <t>Прол. оп.№</t>
  </si>
  <si>
    <t>Ведомости  осмотров</t>
  </si>
  <si>
    <t>НВ034726</t>
  </si>
  <si>
    <t>Письмо, Аварии</t>
  </si>
  <si>
    <t>Письмо ДРСК от 20.01.2020 №64 "О принятии в работу нормативного объема работ по чистке просек";
АРТН №351 от 11.06.2019г.</t>
  </si>
  <si>
    <t>КВЛ 10кВ Ф-2 ОПП Болонь 
L=32310 м</t>
  </si>
  <si>
    <t>31.09.2021</t>
  </si>
  <si>
    <t>Прол. оп.№159-166</t>
  </si>
  <si>
    <t>Прол. оп.№140-159</t>
  </si>
  <si>
    <t>АРТН №351 от 11.06.2019г.</t>
  </si>
  <si>
    <t>Аварийные отключения</t>
  </si>
  <si>
    <t>Оп. №159-166</t>
  </si>
  <si>
    <t>Прол оп.№159-166</t>
  </si>
  <si>
    <t>HB034890</t>
  </si>
  <si>
    <t>Прот. №14-д от 24.10.2018г. п.18</t>
  </si>
  <si>
    <t>КВЛ 6 кВ Ф-8 ПС Эльбан   пгт. Эльбан
L=550 м</t>
  </si>
  <si>
    <t>ДЗ №04-03-19-195/1239 от 09.11.2018г.</t>
  </si>
  <si>
    <t>Установка ОПН. Оп. №12</t>
  </si>
  <si>
    <t>HB034786</t>
  </si>
  <si>
    <t>КЛ 6кВ Ф-12 кл.3 ПС Эльбан  пгт. Эльбан
L=4300 м</t>
  </si>
  <si>
    <t>ААБл-10 3х185</t>
  </si>
  <si>
    <t>Стп-10 150/240 - 4 шт., КНтп-10 150/240 - 1 шт.</t>
  </si>
  <si>
    <t>HB034788</t>
  </si>
  <si>
    <t>КЛ 6кВ Ф-22 кл.1 ПС Эльбан   пгт. Эльбан
L=4300 м</t>
  </si>
  <si>
    <t>HB034789</t>
  </si>
  <si>
    <t>КЛ 6кВ Ф-22 кл.2 ПС Эльбан  пгт. Эльбан
L=4300 м</t>
  </si>
  <si>
    <t>Стп-10 150/240</t>
  </si>
  <si>
    <t>HB007106</t>
  </si>
  <si>
    <t>ВЛ 6 кВ Ф-12 ПС Чегдомын
L=м</t>
  </si>
  <si>
    <t>Оп. № 6, 33, 61, 57/5</t>
  </si>
  <si>
    <t>HB007112</t>
  </si>
  <si>
    <t>ВЛ 6 кВ Ф-33 ПС Чегдомын
L=м</t>
  </si>
  <si>
    <t>Оп. № 2, 32, 43</t>
  </si>
  <si>
    <t>HB032011</t>
  </si>
  <si>
    <t>ВЛ 10 кВ Ф-6 ПС Маго
L=м</t>
  </si>
  <si>
    <t>Прол. оп.№ 6-00/98-:-6-00/117, 6-00/135-:-6-00/138, 6-00/135-:-6-135/6</t>
  </si>
  <si>
    <t>HB032009</t>
  </si>
  <si>
    <t>ВЛ 6 кВ Ф-2 ПС Белая Гора
L=м</t>
  </si>
  <si>
    <t>Прол. оп.№ 2-00/10-:-2-00/70, 2-00/107-:-2-00/130, 2-00/175-:-2-00/180, 2-00/185-:-2-00/188, 2-213/6-:-2-213/12</t>
  </si>
  <si>
    <t xml:space="preserve">HB032153
</t>
  </si>
  <si>
    <t xml:space="preserve"> по состоянию</t>
  </si>
  <si>
    <t>КЛ 6кВ КТП-62 ввод с фидера 23 г. Николаевск-на-Амуре</t>
  </si>
  <si>
    <t>разработка грунта вручную в траншее</t>
  </si>
  <si>
    <t>Стп-10 70/120</t>
  </si>
  <si>
    <t>установка муфты соединительной</t>
  </si>
  <si>
    <t>КВтп -10 70/120, КНтп -10 70/120</t>
  </si>
  <si>
    <t>установка муфты концевой</t>
  </si>
  <si>
    <t>ААБл-10 3х120</t>
  </si>
  <si>
    <t>укладка кабеля</t>
  </si>
  <si>
    <t>обратная засыпка траншеи вручную</t>
  </si>
  <si>
    <t xml:space="preserve">ВЛ 10 кВ Ф-8 ПС Пивань  </t>
  </si>
  <si>
    <t>Оп. № № 1 - 5, 10/9 - 10/16, 10/18 - 10/21, 17, 18, 19</t>
  </si>
  <si>
    <t xml:space="preserve">ВЛ 10 кВ Ф-9 ПС Пивань  </t>
  </si>
  <si>
    <t>Оп. № № 1 - 5, 16 - 57</t>
  </si>
  <si>
    <t>ВЛ 10 кВ Ф-9 ЦРП-10</t>
  </si>
  <si>
    <t xml:space="preserve">Оп. № № 1, 2, 4 </t>
  </si>
  <si>
    <t>ВЛ 10 кВ Ф-17 ПС Картель</t>
  </si>
  <si>
    <t>Оп. № № 60 - 86</t>
  </si>
  <si>
    <t>ВЛ 6 кВ Ф-1 ПС Многовершинная</t>
  </si>
  <si>
    <t>ВЛ 6 кВ Ф-2 ПС Белая Гора</t>
  </si>
  <si>
    <t xml:space="preserve">ВЛ 6 кВ Ф-5 НТЭЦ </t>
  </si>
  <si>
    <t xml:space="preserve">ВЛ 6 кВ Ф-6 Н ТЭЦ </t>
  </si>
  <si>
    <t>ВЛ 6 кВ Ф-7, 31 НТЭЦ -ЦРП аэропорт</t>
  </si>
  <si>
    <t>ВЛ 6 кВ Ф-18 ПС Многовершинная</t>
  </si>
  <si>
    <t xml:space="preserve">ВЛ 6 кВ Ф-23 НТЭЦ </t>
  </si>
  <si>
    <t xml:space="preserve">ВЛ 6 кВ Ф-29 НТЭЦ </t>
  </si>
  <si>
    <t xml:space="preserve">ВЛ 6 кВ Ф-36 НТЭЦ </t>
  </si>
  <si>
    <t>ВЛ 10 кВ Ф-3 ПС Маго</t>
  </si>
  <si>
    <t>Оп. № 3-00/140 – 3-00/156</t>
  </si>
  <si>
    <t>ВЛ 10 кВ Ф-6 ПС Маго</t>
  </si>
  <si>
    <t>КППН,
Предписание</t>
  </si>
  <si>
    <t>Замена вводов</t>
  </si>
  <si>
    <t>НВ032002</t>
  </si>
  <si>
    <t>ВЛ 0,4кВ Ф-2,3 КТП-58 г.Николаевск на Амуре</t>
  </si>
  <si>
    <t>НВ032183</t>
  </si>
  <si>
    <t>ВЛ 0,4кВ Ф-8 ТП-104 г.Николаевск на Амуре</t>
  </si>
  <si>
    <t>НВ031971</t>
  </si>
  <si>
    <t>НВ034966</t>
  </si>
  <si>
    <t>Жалоба</t>
  </si>
  <si>
    <t xml:space="preserve">ВЛ 0,4 кВ Ф-1 КТПН-Лесное п. Лесной
</t>
  </si>
  <si>
    <t>НВ006921</t>
  </si>
  <si>
    <t>Жалоба, 
КППН</t>
  </si>
  <si>
    <t>КППН п.1.2.</t>
  </si>
  <si>
    <t xml:space="preserve">ВЛ 0,4 кВ Ф-4 КТПН-723 с. Ачан
</t>
  </si>
  <si>
    <t>компл.</t>
  </si>
  <si>
    <t>HB033612</t>
  </si>
  <si>
    <t>Устройство повторных заземлений</t>
  </si>
  <si>
    <t>HB007109</t>
  </si>
  <si>
    <t>ВЛ 0,4 кВ Ф-1 ТП-65 п.В.Чегдомын  L=789м.</t>
  </si>
  <si>
    <t>Журнал дефектов</t>
  </si>
  <si>
    <t>Устройство повторного заземления</t>
  </si>
  <si>
    <t>HB034138</t>
  </si>
  <si>
    <t>КЛ 0,4 кВ пр. Комсомольский 24-26
L=70м</t>
  </si>
  <si>
    <t>АВБбШВ-1 4х95(ож)</t>
  </si>
  <si>
    <t>Стп-1 4х70/120,</t>
  </si>
  <si>
    <t>HB034146</t>
  </si>
  <si>
    <t>КЛ 0,4 кВ  ТП-52 - вечерняя школа
L=177м</t>
  </si>
  <si>
    <t>4.14.</t>
  </si>
  <si>
    <t>HB033741</t>
  </si>
  <si>
    <t>КЛ 0,4 кВ ТП9-Мира 42а
L=77м</t>
  </si>
  <si>
    <t xml:space="preserve"> АВБбШв 4х120</t>
  </si>
  <si>
    <t>4.15.</t>
  </si>
  <si>
    <t>HB034880</t>
  </si>
  <si>
    <t>ЛЭП 0,4кВ Ф-3 КТПН-14  пгт. Эльбан  L=952м.</t>
  </si>
  <si>
    <t>Ведомости осмотров</t>
  </si>
  <si>
    <t>Прол оп.№4-17, 8-8/3</t>
  </si>
  <si>
    <t>Выправка промежуточной опоры при отклонении от вертикальной оси вдоль линии ВЛ (Оп.№4-17);
Выправка ответвительной опоры при отклонении от вертикальной оси вдоль линии ВЛ (Оп.№8-8/3)</t>
  </si>
  <si>
    <t>4.16.</t>
  </si>
  <si>
    <t>НВ031997</t>
  </si>
  <si>
    <t>КППН п.1.2.,
Приказ № 698 от 08.12.15 "О вводе актуализированной программы по оптимизации работ в Николаевском РЭС"  Приложение 2-новой формы (актуализированная прграмма по приведению сетей 0,4-110 кВ НРЭС по письму АО ДРСК от 30.01.17 № 08-02/08-25/143)</t>
  </si>
  <si>
    <t>КВЛ 0,4кВ Ф-11,12 ТП-1 г. Николаевск-на-Амуре</t>
  </si>
  <si>
    <t>Устройство заземляющего спуска</t>
  </si>
  <si>
    <t>Устройство ввода в КТП</t>
  </si>
  <si>
    <t>4.17.</t>
  </si>
  <si>
    <t>НВ031943</t>
  </si>
  <si>
    <t>ВЛ 0,4кВ Ф-2 КТП-12 г. Николаевск-на-Амуре</t>
  </si>
  <si>
    <t>Переподвеска провода (по трассе)</t>
  </si>
  <si>
    <t>Переустановка ПУ с дер.опор на ж/б опоры</t>
  </si>
  <si>
    <t>4.18.</t>
  </si>
  <si>
    <t>ВЛ 0,4кВ Ф-3 КТП-12 г. Николаевск-на-Амуре</t>
  </si>
  <si>
    <t>4.19.</t>
  </si>
  <si>
    <t>НВ031954</t>
  </si>
  <si>
    <t>ВЛ 0,4кВ Ф-2,3,4 КТП-24 г. Николаевск-на-Амуре</t>
  </si>
  <si>
    <t>4.20.</t>
  </si>
  <si>
    <t>ВЛ 0,4кВ Ф-2 ТП-14 г. Николаевск-на-Амуре</t>
  </si>
  <si>
    <t>4.21.</t>
  </si>
  <si>
    <t>ВЛ 0,4кВ Ф-5 ТП-14 г. Николаевск-на-Амуре</t>
  </si>
  <si>
    <t>4.22.</t>
  </si>
  <si>
    <t>НВ031939</t>
  </si>
  <si>
    <t>ВЛ 0,4кВ Ф-4 КТП-25 г. Николаевск-на-Амуре</t>
  </si>
  <si>
    <t>ВЛ 0,4кВ Ф-5 КТП-25 г. Николаевск-на-Амуре</t>
  </si>
  <si>
    <t>НВ031950</t>
  </si>
  <si>
    <t>ВЛ 0,4кВ Ф-2 ТП-108 г. Николаевск-на-Амуре</t>
  </si>
  <si>
    <t>ПС 110 кВ Байкальская</t>
  </si>
  <si>
    <t>ПС 110 кВ Азимут</t>
  </si>
  <si>
    <t>НВ004124
НВ004098</t>
  </si>
  <si>
    <t>ТДН-10000/110, ТМН-6300/110 1Т, 2Т</t>
  </si>
  <si>
    <t>НВ004118
НВ004119</t>
  </si>
  <si>
    <t>РВ-10 ШР 10 1ТСН, ШР 10 2ТСН</t>
  </si>
  <si>
    <t>Ремонт разъединителей 6-10 кВ</t>
  </si>
  <si>
    <t>МГ, КППН, По состоянию</t>
  </si>
  <si>
    <t>ПС 110 кВ Горная</t>
  </si>
  <si>
    <t xml:space="preserve">НВ010303 </t>
  </si>
  <si>
    <t>ТДН-10000/110 1Т</t>
  </si>
  <si>
    <t xml:space="preserve">НВ004243
НВ027314 </t>
  </si>
  <si>
    <t>ТМ-180/6 1ТСН 6, 2ТСН 6</t>
  </si>
  <si>
    <t xml:space="preserve">НВ004246 НВ027332 НВ004168 </t>
  </si>
  <si>
    <t>МКП-110М В 110 1Т, В 110 2Т, 
В 110 С-112</t>
  </si>
  <si>
    <t xml:space="preserve">НВ004249 НВ027335 НВ027336 НВ027337 НВ027338 НВ027339  </t>
  </si>
  <si>
    <t>НКФ-110 ТН 110 1с, ТН 110 2с</t>
  </si>
  <si>
    <t>НВ026964</t>
  </si>
  <si>
    <t>ВМПЭ-10 В 6 яч 33</t>
  </si>
  <si>
    <t>МГ, по состоянию</t>
  </si>
  <si>
    <t>ПС 110 кВ Кедровая</t>
  </si>
  <si>
    <t xml:space="preserve">НВ004106 НВ026790 </t>
  </si>
  <si>
    <t>РНДЗ-35 1РРК 10, 2РРК 10</t>
  </si>
  <si>
    <t>НВ026810 НВ026807</t>
  </si>
  <si>
    <t>НТМИ-10 ТН 10 1с, ТН 10 2с</t>
  </si>
  <si>
    <t>ПС 110 кВ Лиан</t>
  </si>
  <si>
    <t>НВ026741  НВ026731 НВ026734 НВ026750</t>
  </si>
  <si>
    <t>ВМПЭ-10 СВ 10, В 10 1Т, В 10 яч  7, В 10 2Т яч  33</t>
  </si>
  <si>
    <t>НВ004097 НВ004101</t>
  </si>
  <si>
    <t>ТМН-2500/110 1Т, 2Т</t>
  </si>
  <si>
    <t>НВ026729 НВ026724</t>
  </si>
  <si>
    <t>РНДЗ-110 СР 110 2с, РРП 110 С-80</t>
  </si>
  <si>
    <t>По состоянию, МГ, КППН</t>
  </si>
  <si>
    <t>ПС 110 кВ Молодежная</t>
  </si>
  <si>
    <t>НВ004266 НВ027447</t>
  </si>
  <si>
    <t>ЗОН-110М ЗОН 110 1Т, ЗОН 110 2Т</t>
  </si>
  <si>
    <t>НВ004266 НВ027448</t>
  </si>
  <si>
    <t>КППН п 1.4.</t>
  </si>
  <si>
    <t>ПС 110 кВ Перевальная</t>
  </si>
  <si>
    <t>НВ027301</t>
  </si>
  <si>
    <t xml:space="preserve"> № 08-03-12-35/638 от 08.04.2019 </t>
  </si>
  <si>
    <t>ЗНОЛ.06-6 на НАМИ 10-95 ТН 6 1с</t>
  </si>
  <si>
    <t>ПС 110 кВ Ручей</t>
  </si>
  <si>
    <t>НВ004140</t>
  </si>
  <si>
    <t xml:space="preserve">ТМН-2500/110 2Т </t>
  </si>
  <si>
    <t>ПС 110 кВ Солнечная</t>
  </si>
  <si>
    <t>НВ027092 НВ004178 НВ027082 НВ027070 НВ027074 НВ027105</t>
  </si>
  <si>
    <t>РНДЗ-110 ОШР 110 ОВ, 1ШР 110 1ТН,  2ШР 110 2ТН, 1ШР 110 1Т, 1ШР 110 2Т, 1ШР 110 С-108</t>
  </si>
  <si>
    <t xml:space="preserve">НВ004200 </t>
  </si>
  <si>
    <t>ТМН-6300/110 1Т</t>
  </si>
  <si>
    <t>НВ004186 НВ027206 НВ027212 НВ027213 НВ027216</t>
  </si>
  <si>
    <t>МКП-110М В 110 С-82, В 110 С-91, В 110 С-107, В 110 С-108, В 110 С-103</t>
  </si>
  <si>
    <t>НВ027089 НВ027064 НВ027068 НВ027072 НВ027076 НВ027080 НВ027085 НВ027065  НВ027069 НВ027073 НВ027077  НВ027081 НВ027086  НВ027110 НВ027114 НВ027088 НВ027091 НВ027102 НВ027106 НВ004187 НВ027217</t>
  </si>
  <si>
    <t>РНД-110, РНДЗ-110 ШР 110 ТН ОСШ, ЛР 110 С-82, ЛР 110 С-81, ТР 110 1Т, ТР 110 2Т, ЛР 110 С-91, ЛР 110 С-92,  ОШР 110 С-82, ОШР 110  С-81, ОШР 110 1Т, ОШР 110 2Т, ОШР 110 С-91, ОШР 110 С-92, 2ШР 110 С-104, 2ШР 110 С-103, 2ШР 110 ШСВ, 2ШР 110 ОВ, 2ШР 110 С-107, 2ШР 110 С-108
ЗОН-110 ЗОН 110 1Т, ЗОН 110 2Т</t>
  </si>
  <si>
    <t>МГ, КППН</t>
  </si>
  <si>
    <t>ПС 110 кВ ЦОФ</t>
  </si>
  <si>
    <t>НВ004260 НВ027443</t>
  </si>
  <si>
    <t>НВ004258 НВ027423 НВ004261 НВ027444 НВ004260 НВ027443</t>
  </si>
  <si>
    <t>ОД-110М ОД 110 1Т, ОД 110 2Т
КЗ-110М КЗ 110 1Т, КЗ 110 2Т
ЗОН-110 ЗОН 110 1Т, ЗОН 110 2Т</t>
  </si>
  <si>
    <t xml:space="preserve">Селих участок КРЭС </t>
  </si>
  <si>
    <t>ПС 110 кВ Вознесенская</t>
  </si>
  <si>
    <t xml:space="preserve">НВ004480 НВ004474 </t>
  </si>
  <si>
    <t>ТМН-6300/110, ТМН-2500/110 1Т, 2Т</t>
  </si>
  <si>
    <t xml:space="preserve">НВ004465 НВ027829 </t>
  </si>
  <si>
    <t>ТМ-63/10 1ТСН 10, 2ТСН 10</t>
  </si>
  <si>
    <t xml:space="preserve">НВ004520 НВ028081 НВ004471 НВ027770 НВ027671 </t>
  </si>
  <si>
    <t>РНДЗ-110 ЛР 110 С-105, ЛР 110 С-106, РРП 110 С-105, РРП 110 С-106, СР 110 2с</t>
  </si>
  <si>
    <t xml:space="preserve">НВ004530 НВ028137 НВ028138 НВ004420 НВ004421 НВ004422 </t>
  </si>
  <si>
    <t>НВ027848 НВ027850</t>
  </si>
  <si>
    <t>ВМПП-10 В 10 яч 4, В 10 яч 10</t>
  </si>
  <si>
    <t>МГ, КППН Аварии</t>
  </si>
  <si>
    <t>ПС 110 кВ Гайтер</t>
  </si>
  <si>
    <t>НВ027887</t>
  </si>
  <si>
    <t>АРТН № 147 от 11.04.2019</t>
  </si>
  <si>
    <t>У-110 В 110 С-123</t>
  </si>
  <si>
    <t>НВ027935 НВ027910 НВ027908 НВ028205 НВ027887</t>
  </si>
  <si>
    <t xml:space="preserve">РНДЗ-110 ОШР 110 2Т, ОШР 110 С-121, ОШР 110 С-123,  ШР 110 1с ОСВ, ШР 110 2с ОСВ </t>
  </si>
  <si>
    <t xml:space="preserve">НВ027964 НВ027965 НВ027991 НВ027992 </t>
  </si>
  <si>
    <t>НОМ-10 2ТН 10 1-1с, 2ТН 10 2-1с, 2ТН 10 2-2с, 2ТН 10 1-2с</t>
  </si>
  <si>
    <t>МГ, Письмо</t>
  </si>
  <si>
    <t>ПС 110 кВ Иннокентьевка</t>
  </si>
  <si>
    <t>НВ028089</t>
  </si>
  <si>
    <t>НТМИ-10 на НАМИ 10-95 ТН 10 1с</t>
  </si>
  <si>
    <t>НВ004462 HB004510 НВ028055 НВ004522 НВ028093 НВ028094  НВ028095 НВ028096 НВ028097 НВ0028162 НВ0028163 НВ0028164 НВ004521 НВ028082 НВ028085 НВ028091</t>
  </si>
  <si>
    <t>ТМ-160/10 1ТСН 10, 2ТСН 10</t>
  </si>
  <si>
    <t>ТФЗМ-110 Б ТТ 110 2Т</t>
  </si>
  <si>
    <t>ВКЭ-10 В 10 1Т, СВ 10, В 10 2Т</t>
  </si>
  <si>
    <t>НТМИ-10 ТН 10 2с</t>
  </si>
  <si>
    <t>ПС 110 кВ Картель</t>
  </si>
  <si>
    <t>НВ027659 НВ027660 НВ004433 НВ027654 НВ027655 НВ027656 НВ027657 НВ027658  НВ027745</t>
  </si>
  <si>
    <t>НКФ-110 ТН 110 С-74, ТН 110 С-99, ТН 110 1с, ТН 110 2с</t>
  </si>
  <si>
    <t>ВМПЭ-10 В 10 яч 30</t>
  </si>
  <si>
    <t xml:space="preserve"> НАМИ-10 ТН 10 1с:</t>
  </si>
  <si>
    <t>ПС 110 кВ Лидога</t>
  </si>
  <si>
    <t>ТМН-2500/110 1Т</t>
  </si>
  <si>
    <t>НВ004412 НВ004426 НВ004412  НВ004413 НВ004414</t>
  </si>
  <si>
    <t>ВМТ-110Б В 110 С-110</t>
  </si>
  <si>
    <t xml:space="preserve">Ремонт разъединителей 6-10 кВ </t>
  </si>
  <si>
    <t>ПС 110 кВ Озерная</t>
  </si>
  <si>
    <t xml:space="preserve">НВ004509 НВ028054 НВ004416 НВ027775 НВ027782 НВ027789 НВ027790 </t>
  </si>
  <si>
    <t>1Т, 2Т: ТМН-6300/110</t>
  </si>
  <si>
    <t>2ТСН 10: ТМ-100/10</t>
  </si>
  <si>
    <t>1ТН 10 2с, 1ТН 10 1с, 2ТН 10 2с, 2ТН 10 1с: НОМ-10</t>
  </si>
  <si>
    <t>ПС 110 кВ Пивань</t>
  </si>
  <si>
    <t>НВ004435 НВ027665 НВ004435 НВ027665 НВ004549 НВ028206 НВ028207 НВ027844 НВ004536 НВ028149 НВ004475 НВ027862</t>
  </si>
  <si>
    <t>ТДН-10000/110 1Т, 2Т</t>
  </si>
  <si>
    <t xml:space="preserve"> ЗОН-110М ЗОН 110 1Т, ЗОН 110 2Т:
РНДЗ-110 ЛР 110 С-74, СР 110 1с, СР 110 2с, ШР 110 С-74
ОДЗ-110М ОД 110 1Т, ОД 110 2Т
КЗ-110М КЗ 110 1Т, КЗ 110 2Т</t>
  </si>
  <si>
    <t>МГ, КППН, Письмо</t>
  </si>
  <si>
    <t>ПС 110 кВ Троицкая</t>
  </si>
  <si>
    <t>НВ028139</t>
  </si>
  <si>
    <t>НВ004534 НВ028145</t>
  </si>
  <si>
    <t xml:space="preserve">РНДЗ-110 СР 110 1с, СР 110 2с </t>
  </si>
  <si>
    <t>РНДЗ-110 СР 110 1с, СР 110 2с</t>
  </si>
  <si>
    <t xml:space="preserve">НВ004546 ЕО0003891 </t>
  </si>
  <si>
    <t>ТМТН-6300/110 1Т, 2Т</t>
  </si>
  <si>
    <t xml:space="preserve">шт </t>
  </si>
  <si>
    <t>НВ004470 НВ027841 НВ027842 НВ028146 НВ027666 НВ004457 НВ004535 НВ028148 НВ028194</t>
  </si>
  <si>
    <t>ТФЗМ-110Б ТТ 110 1Т</t>
  </si>
  <si>
    <t>ЗОН-110М ЗОН 110 1Т, ЗОН 110 2Т
РНДЗ-110 ЛР 110 С-110, РРП 110 С-110
ОДЗ-110 ОД 110 1Т, ОД 110 2Т
КЗ-110М КЗ 110 1Т, КЗ 110 2Т</t>
  </si>
  <si>
    <t>ВК-10 В 10 яч 5</t>
  </si>
  <si>
    <t>МГ, По состоянию, Письмо</t>
  </si>
  <si>
    <t>НВ004872</t>
  </si>
  <si>
    <t>НТМИ-6 на НАМИ 10-95 1ТН 6 2с</t>
  </si>
  <si>
    <t>НВ028486 НВ004818 НВ004837 НВ028466 НВ028467 НВ004812 НВ028465 НВ028470 НВ028472 НВ028473 НВ028474 НВ004814  НВ028471 НВ028450 НВ004808 НВ028451 НВ028452 НВ028438 НВ004806 НВ028439 НВ028440 НВ028458 НВ004811 НВ028460 НВ028459 НВ028480 НВ004816 НВ004163 НВ004863</t>
  </si>
  <si>
    <t>МКП-35, С-35М  В 35 1Т, В 35 2Т, СВ 35, В 35 Т-185, В 35 Т-186, В 35 Т-171, В 35 Т-170</t>
  </si>
  <si>
    <t xml:space="preserve"> РНДЗ-110 ШР 110 С-98, ШР 110 1Т, СР 110 1с, СР 110 2с, ШР 110 С-97, ШР 110  2Т, ЛР 110 С-98, ЛР 110 С-97, ШР 110 ТН 1с, ШР 110 ТН 2с
ЗОН-110М ЗОН 110 1Т, ЗОН 110 2Т</t>
  </si>
  <si>
    <t>РНДЗ-35 ШР 35 Т-171, ШР 35 Т-170,  ШР 35 Т-185, ШР 35 Т-186, ЛР 35 Т-171, ЛР 35 Т-170, ЛР 35 Т-186, ЛР 35 Т-185
РОН-35 РРК 35 1Т, РРК 35 2Т</t>
  </si>
  <si>
    <t>ПС 110 кВ Водозабор</t>
  </si>
  <si>
    <t xml:space="preserve">НВ028570 НВ028569 НВ004849 НВ028568  НВ028571 НВ028572 </t>
  </si>
  <si>
    <t>РНДЗ-110 ЛР 110 С-126, ЛР 110 С-125, СР 110 1с, СР 110 2с, ШР 110 1Т, ШР 110 2Т</t>
  </si>
  <si>
    <t xml:space="preserve">НВ028570 НВ004849 НВ028571  </t>
  </si>
  <si>
    <t>РНДЗ-110 ЛР 110 С-126, СР 110 1с, ШР 110 1Т</t>
  </si>
  <si>
    <t xml:space="preserve">НВ028567 НВ004848 </t>
  </si>
  <si>
    <t>ТДН-16000/110 1Т,  2Т</t>
  </si>
  <si>
    <t>ПС 110 кВ Северная</t>
  </si>
  <si>
    <t>НВ004833 НВ006020 НВ028941</t>
  </si>
  <si>
    <t>ТПЛ-10 на ТЛК-10 ТТ 6 яч 22, ТТ 6 яч  20, ТТ 6 яч 4</t>
  </si>
  <si>
    <t>НВ004820 НВ004779   НВ004759 НВ028645 НВ004908 НВ028646 НВ028644 НВ028651 НВ028653 НВ028647 НВ028648 НВ028649 НВ028655 НВ028656 НВ028652 НВ028652</t>
  </si>
  <si>
    <t xml:space="preserve">ТДТН-10000/110 2Т </t>
  </si>
  <si>
    <t>ТМ-200/6, ТМ-160/6 1ТСН 6, 2ТСН 6</t>
  </si>
  <si>
    <t>РЛНД-110, РНДЗ-110 ЛР 110 С-80, ЛР 110 С-109, ШР 110 С-80, ШР 110 С-109, ШР 110 1Т, ШР 110 ОПН 1с, СР 110 1с,  СР 110 2с, ШР 110 2Т, ШР 110 ТН 2с, ШР 110 ОПН 2с, ТР 110 1Т, ТР 110 2Т</t>
  </si>
  <si>
    <t>ПС 110 кВ Хурба</t>
  </si>
  <si>
    <t>НВ004790 НВ028401 НВ004800 НВ028421  НВ028402 НВ028420</t>
  </si>
  <si>
    <t>ВМ-35, ВТ-35, С-35М, ВБ-35 В 35 1Т, СВ 35, В 35 Т-183, В 35 Т-181, В 35 2Т, В 35 Т-180</t>
  </si>
  <si>
    <t xml:space="preserve">НВ004805 НВ004838 НВ028420 НВ004793 НВ028408 НВ028409
НВ004801 НВ028422 НВ028423
</t>
  </si>
  <si>
    <t>ТМ-100/10, ТOEZ-250/10 1ТСН 10, 2ТСН 10</t>
  </si>
  <si>
    <t>ТФЗМ-35 ТТ 35 Т-180</t>
  </si>
  <si>
    <t>ЗНОМ-35 ТН 35 1с, ТН 35 2с</t>
  </si>
  <si>
    <t>СевРЭС</t>
  </si>
  <si>
    <t>ПС 110 кВ БАМ-ПТФ</t>
  </si>
  <si>
    <t xml:space="preserve">НВ007395 HB004862 HB028579 HB028580 HB030083  HB030084 HB007355 HB026243 HB026244 HB026245 HB007391 HB030157 HB007396 HB030162 HB030163 HB030164 HB030165 HB030166 HB007366 HB030107 HB030108 HB007332 </t>
  </si>
  <si>
    <t>ВМТ-110 В 110 1Т</t>
  </si>
  <si>
    <t>С-35 В 35 Т-195, В 35 Т-222, В 35 1Т</t>
  </si>
  <si>
    <t>ТФЗМ-35 ТТ 35 Т-222, ТТ 35 1Т</t>
  </si>
  <si>
    <t>ЗНОМ-35 ТН 35 1с</t>
  </si>
  <si>
    <t>ЗОН-110М ЗОН 110 1Т</t>
  </si>
  <si>
    <t>5.24.</t>
  </si>
  <si>
    <t>МГ, Письмо, По состоянию</t>
  </si>
  <si>
    <t>ПС 110 кВ К</t>
  </si>
  <si>
    <t>НВ030345 НВ030344 НВ030343 НВ030342
НВ030341
НВ030340</t>
  </si>
  <si>
    <t>РНДЗ-110 ЛР 110 С-120, ЛР 110 С-119, ЛР 110 С-73, ЛР 110 С-118, ЛР 110 С-117, ЛР 110 С-81</t>
  </si>
  <si>
    <t>HB007290</t>
  </si>
  <si>
    <t>ТВЛМ-10 на ТЛК-10 ТТ 6 яч 12</t>
  </si>
  <si>
    <t>НВ030329 НВ030328 НВ030327 НВ030326 НВ030325 НВ030324 НВ030337 НВ030379 НВ030378 НВ030377 НВ030376 НВ030375 НВ030374 НВ030370 НВ030371 НВ030362 НВ030361 НВ030360 НВ030359 НВ030358 НВ030324 НВ030353 НВ030354</t>
  </si>
  <si>
    <t>РНДЗ-110, РНДЗ-110 ОШР 110 С-120, ОШР 110 С-119, ОШР 110 С-73, ОШР 110 С-118, ОШР 110 С-117, ОШР 110 С-81, ОШР 110 ОВ, 1ШР 110 С-120, 1ШР 110 С-119, 1ШР 110 С-73, 1ШР 110 С-118 , 1ШР 110 С-117, 1ШР 110 С-81, 1ШР 110 ШСВ, 1ШР 110 ОВ, 2ШР 110 С-120, 2ШР 110 С-119, 2ШР 110 С-73, 2ШР 110 С-118, 2ШР 110 С-117, 2ШР 110 С-81, 2ШР 110 ШСВ, 2ШР 110 ОВ</t>
  </si>
  <si>
    <t>ПС 110 кВ КСК</t>
  </si>
  <si>
    <t xml:space="preserve">НВ007257 НВ007321 НВ030044 НВ030045 НВ030046 </t>
  </si>
  <si>
    <t xml:space="preserve">ТМ-40/10 1ТСН 10 </t>
  </si>
  <si>
    <t xml:space="preserve">РНДЗ-110 ЛР 110 С-102, ЛР 110 С-97, СР 110 1с , СР 110 2с </t>
  </si>
  <si>
    <t>ПС 110 кВ Привокзальная</t>
  </si>
  <si>
    <t xml:space="preserve">НВ007314 </t>
  </si>
  <si>
    <t>ТДН-16000/110 1Т</t>
  </si>
  <si>
    <t>НВ030187 НВ007433 НВ007297 НВ007300 НВ030002</t>
  </si>
  <si>
    <t>РНДЗ-110 ЛР 110 С-93, ЛР 110 С-75, ШР 110 1Т,  ШР 110 2Т, СР 110 1с, СР 110 2с, ШР 110 ТН 1с, ШР 110 ОПН 2с</t>
  </si>
  <si>
    <t>ПС 110кВ Падали</t>
  </si>
  <si>
    <t>HB004139</t>
  </si>
  <si>
    <t>ТМН-2500/110/6 1Т</t>
  </si>
  <si>
    <t>ПС 110 кВ Эльбан</t>
  </si>
  <si>
    <t>HB004866 HB029180</t>
  </si>
  <si>
    <t>РЛНД-110 ШР 110 1Т, ШР 110 2Т, ШР 110 ТН1с, ШР 110 ТН2с</t>
  </si>
  <si>
    <t>ТДТН-160000/110 1Т</t>
  </si>
  <si>
    <t>HB005348</t>
  </si>
  <si>
    <t>МКП-110 В 110 С-88</t>
  </si>
  <si>
    <t>HB005345
HB029184</t>
  </si>
  <si>
    <t>HB005352
HB029200</t>
  </si>
  <si>
    <t>ЗНОМ-35  ТН 35 1с, ТН 35 2с</t>
  </si>
  <si>
    <t>HB029240
HB029246</t>
  </si>
  <si>
    <t>ВМПЭ-10 В 6 яч.16, В 6 яч.24</t>
  </si>
  <si>
    <t xml:space="preserve">НВ032387  НВ032388  НВ032359  НВ032362   НВ032363 НВ032283  НВ032284 </t>
  </si>
  <si>
    <t>ПС Белая Гора</t>
  </si>
  <si>
    <t>ТМ-6300/110, ТМ-6300/110 1Т, 2Т</t>
  </si>
  <si>
    <t>ОД-110 ОД 110 1Т, ОД 110 2Т
КЗ-110 КЗ 110 1Т, КЗ 110 2Т</t>
  </si>
  <si>
    <t>ТМ-100/6, ТМ-40/6 1ТСН 6, 2ТСН 6</t>
  </si>
  <si>
    <t>НВ032130</t>
  </si>
  <si>
    <t>ПС Маго</t>
  </si>
  <si>
    <t>ТДЦП-16000-110/10 1Т</t>
  </si>
  <si>
    <t>НВ032012   НВ032138</t>
  </si>
  <si>
    <t>ПС Многовершинная</t>
  </si>
  <si>
    <t>ВМПЭ-6 В 6 яч.1,3,6,8,9,10,13,14,15,18,19,28,31,34</t>
  </si>
  <si>
    <t xml:space="preserve">ТМ-63/6 Т 6 РЭП </t>
  </si>
  <si>
    <t xml:space="preserve">ТМ-250/6, ТМ-160/6 1ТСН 6, 2ТСН 6 </t>
  </si>
  <si>
    <t>ОД-110 ОД 110 1Т, ОД 110 2Т, 
КЗ 110 КЗ 110 1Т, КЗ 110 2Т, 
ЗОН-110 ЗОН 110 1Т, ЗОН 110 2Т</t>
  </si>
  <si>
    <t>СВ 110</t>
  </si>
  <si>
    <t>ПС 35 кВ Городская</t>
  </si>
  <si>
    <t xml:space="preserve"> НВ026277
 НВ003696
 НВ026273
 НВ026273
 НВ026274
 НВ026274
 НВ026275
 НВ026275
 НВ026276
 НВ026276</t>
  </si>
  <si>
    <t>РВ-10 ШР 10 ТН яч 5, ШР 10 1ТСН яч 6, ШР 10 1Т яч 1, ТР 10 1Т яч 1, ШР 10 яч 2,  ЛР 10 яч 2, ШР 10 яч 3, ЛР 10 яч 3, ШР 10 яч 4,  ЛР 10 яч 4</t>
  </si>
  <si>
    <t>ПС 35 кВ Кислородная</t>
  </si>
  <si>
    <t>HB026325 HB026320 HB003697</t>
  </si>
  <si>
    <t>РНД-35 ШР 35 ТН 2с, СР 35 1с, СР 35 2с</t>
  </si>
  <si>
    <t xml:space="preserve">HB003720 </t>
  </si>
  <si>
    <t>ТДНС-16000/35 2Т</t>
  </si>
  <si>
    <t>HB026318 HB026319 НВ026323 HB026097</t>
  </si>
  <si>
    <t>РЛНДЗ-35, РНД-35 ЛР 35 Т1Ф, ЛР 35 Т25Ф, ШР 35 Т25Ф, ШР 35 2Т</t>
  </si>
  <si>
    <t>ПС 35 кВ Лесозаводская</t>
  </si>
  <si>
    <t xml:space="preserve">HB003593 HB003587 HB026380 HB026381 </t>
  </si>
  <si>
    <t>С-35М, С-35В 35 Т10Ф, В 35 Т11Ф, В 35 1Т, В 35 2Т</t>
  </si>
  <si>
    <t>HB026364  НВ026363</t>
  </si>
  <si>
    <t>РНДЗ-35 ЛР 35 Т10Ф, ЛР 35 Т11Ф, ШР 35 Т10Ф, ШР 35 Т11Ф</t>
  </si>
  <si>
    <t xml:space="preserve">НВ003614 НВ003613 </t>
  </si>
  <si>
    <t>ТМ-100/10, ТМ-63/10 1ТСН 10, 2ТСН 10</t>
  </si>
  <si>
    <t xml:space="preserve">HB003639 HB026253 </t>
  </si>
  <si>
    <t xml:space="preserve">НВ026190 НВ026195 </t>
  </si>
  <si>
    <t>РВП-10 ОПН 10 1с, ОПН 10 2с</t>
  </si>
  <si>
    <t>Ремонт разрядников 6-10 кВ</t>
  </si>
  <si>
    <t>НАМИТ-10 ТН 10 1с, ТН 10 2с</t>
  </si>
  <si>
    <t>HB026197 HB026194 HB026193 HB026191  HB026188 HB026438 HB026198</t>
  </si>
  <si>
    <t>ВМП-10К В 10 2Т, В 10 яч 8, В 10 яч 10, В 10  яч  7, В 10 1Т,  В 10 яч 14, В 10 яч  11</t>
  </si>
  <si>
    <t>ПС 35 кВ Монгохто</t>
  </si>
  <si>
    <t xml:space="preserve">HB003717 HB026289 HB003705     </t>
  </si>
  <si>
    <t>РНДЗ-35 ЛР 35 Т7Ф, ШР 35 2Т, СР 35 1с, СР 35 2с</t>
  </si>
  <si>
    <t xml:space="preserve">НВ026220 </t>
  </si>
  <si>
    <t>ТМ-25/10 2ТСН 10</t>
  </si>
  <si>
    <t>РВ-10 ШР 10 2 ТСН</t>
  </si>
  <si>
    <t>ПС 35 кВ РП-1</t>
  </si>
  <si>
    <t xml:space="preserve">НВ003791 
НВ003627 </t>
  </si>
  <si>
    <t>ТМ-100/10, ТМ-50/10 1ТСН 10, 2ТСН 10</t>
  </si>
  <si>
    <t xml:space="preserve">HB026212 HB026290 HB003594 HB026211  HB026215 HB026213  HB026214 </t>
  </si>
  <si>
    <t>РЛНЗ-35 ЛР 35 Т4Ф, ЛР 35 Т5Ф, ШР 35 ОПН 2с, ШР 35 1Т, ШР 35 2Т, СР 35 1с, СР 35 2с</t>
  </si>
  <si>
    <t>ПС 35 кВ РП-4</t>
  </si>
  <si>
    <t xml:space="preserve">HB003646 HB003790 </t>
  </si>
  <si>
    <t>ТМ-6300/35, ТДНС-10000/35 1Т, 2Т</t>
  </si>
  <si>
    <t xml:space="preserve">НВ003739 НВ003729 </t>
  </si>
  <si>
    <t>ТМ-100/10 1ТСН 10, 2ТСН 10</t>
  </si>
  <si>
    <t xml:space="preserve">HB026216 HB026217 HB026218 HB026089 HB026236 HB026237 </t>
  </si>
  <si>
    <t>ПС 35 кВ Тишкино</t>
  </si>
  <si>
    <t xml:space="preserve">HB003629 HB026224 </t>
  </si>
  <si>
    <t>ТМН-6300/35 1Т, 2Т</t>
  </si>
  <si>
    <t>ПС 35 кВ Центральная</t>
  </si>
  <si>
    <t>НВ026121 НВ026141</t>
  </si>
  <si>
    <t>НАМИ-10 1ТН 10, 2ТН 10</t>
  </si>
  <si>
    <t>ПС 35 кВ Эгге</t>
  </si>
  <si>
    <t xml:space="preserve">HB003704 HB026346 HB003704  HB026346  HB003704  HB026346   HB003704  HB026346 </t>
  </si>
  <si>
    <t>ВМПЭ-10 В 10 яч 1, В 10 яч 2, В 10 яч 7, В 10 яч 10, В 10 яч 13, В 10 яч 8, В 10 яч 19, В 10 яч 17, В 10 яч 14</t>
  </si>
  <si>
    <t xml:space="preserve">HB003704 HB026346 </t>
  </si>
  <si>
    <t>ТДНС-10000/35 1Т, 2Т</t>
  </si>
  <si>
    <t xml:space="preserve">HB003808 HB003807  НВ026341 </t>
  </si>
  <si>
    <t>С-35М СВ 35, В 35 Т2Ф, В 35 Т23Ф</t>
  </si>
  <si>
    <t>ПС 35 кВ Южная</t>
  </si>
  <si>
    <t>НВ026361 НВ026360 НВ026359 НВ026210 НВ026209 НВ026207 НВ003640  НВ026206 НВ026208 НВ026284 НВ026285 НВ026362 НВ026358</t>
  </si>
  <si>
    <t>РЛНЗ-35, SOHK-35 ЛР 35 Т11Ф, ЛР 35 Т5Ф, ЛР 35 Т6Ф, ШР 35 Т11Ф, ШР 35 Т5Ф, ШР 35 Т6Ф, РРП 35, СР 35 1с, СР 35 2с, ШР 35 ТН 1с, ШР 35 ТН 2с, ШР 35 1Т, ШР 35 2Т</t>
  </si>
  <si>
    <t>HB026382</t>
  </si>
  <si>
    <t>ТМ-100/10 2ТСН 10</t>
  </si>
  <si>
    <t>ПС 35 кВ Дуки</t>
  </si>
  <si>
    <t>НВ004048 НВ004038</t>
  </si>
  <si>
    <t xml:space="preserve">ТМ-100/10 1ТСН 10, 2ТСН 10 </t>
  </si>
  <si>
    <t>ПС 35 кВ Чегдомын</t>
  </si>
  <si>
    <t xml:space="preserve">НВ007154  </t>
  </si>
  <si>
    <t xml:space="preserve"> ТМ-63/6 1ТСН 6, 2ТСН 6</t>
  </si>
  <si>
    <t>НВ007121</t>
  </si>
  <si>
    <t>ВМПП-10  В 6 1Т, В 6 2Т, В 6 яч 28, В 6 яч 31, В 6 яч 3, В 6 яч 7, В 6 яч 34, В 6 яч 13</t>
  </si>
  <si>
    <t>ПС 35 кВ Ч</t>
  </si>
  <si>
    <t xml:space="preserve">НВ007140 </t>
  </si>
  <si>
    <t>С-35 В 35 Т-305, В 35 Т-306, В 35 2Т</t>
  </si>
  <si>
    <t>НВ007141</t>
  </si>
  <si>
    <t>ВМПП-10, ВВТЭ-10, ВКЭ-10 В 6 1Т, В 6 2Т, СВ 6, В 6 яч 67, В 6 яч 64, В 6 яч 74 , В 6 яч 66 , В 6 яч 72, В 6 яч 78, В 6 яч 80</t>
  </si>
  <si>
    <t>ЗНОЛ.06-6 ТН 6 1с, 1ТН 6 2с</t>
  </si>
  <si>
    <t>ПС 35 кВ Шахта</t>
  </si>
  <si>
    <t xml:space="preserve"> НВ007152</t>
  </si>
  <si>
    <t>ТМШ-2500/10 3Т, 4Т</t>
  </si>
  <si>
    <t>ПС 35 кВ Б</t>
  </si>
  <si>
    <t>НВ028617
НВ028621</t>
  </si>
  <si>
    <t>НТМИ-6 на НАМИ-10-95 ТН 6 1с, ТН 6 2с</t>
  </si>
  <si>
    <t xml:space="preserve">НВ004835 </t>
  </si>
  <si>
    <t>ТДНС-10000/35 2Т</t>
  </si>
  <si>
    <t>НВ028614</t>
  </si>
  <si>
    <t>ВМП-10 В 10 1Т</t>
  </si>
  <si>
    <t>ПС 35 кВ Объект-202</t>
  </si>
  <si>
    <t xml:space="preserve">НВ004755 НВ004756 </t>
  </si>
  <si>
    <t>ТМН-2500/35 1Т, 2Т</t>
  </si>
  <si>
    <t>НВ004902</t>
  </si>
  <si>
    <t>ВМГ-133 В 10 яч 9</t>
  </si>
  <si>
    <t>ПС 35 кВ Совхоз Комсомольский</t>
  </si>
  <si>
    <t>НВ028378</t>
  </si>
  <si>
    <t>НТМИ-10 на НАМИ-10-95 ТН 10 1с</t>
  </si>
  <si>
    <t xml:space="preserve">НВ004783 </t>
  </si>
  <si>
    <t>ТМ-4000/35 2Т</t>
  </si>
  <si>
    <t>НВ028376 НВ004785</t>
  </si>
  <si>
    <t xml:space="preserve">ТМ-25/10, ТМ-40/10 1ТСН 10, 2ТСН 10 </t>
  </si>
  <si>
    <t>НВ030221</t>
  </si>
  <si>
    <t>НТМИ-6 на НАМИ-10-95 ТН 6 2с</t>
  </si>
  <si>
    <t>ПС 35 кВ Западная</t>
  </si>
  <si>
    <t>HB007479 HB030282 HB030283 HB030284 HB030285 HB030286</t>
  </si>
  <si>
    <t>ПС 35 кВ Индустриальная</t>
  </si>
  <si>
    <t xml:space="preserve"> НВ007302 НВ007385</t>
  </si>
  <si>
    <t>ТМ-4000/35 1Т, 2Т</t>
  </si>
  <si>
    <t>ПС 35 кВ КЖБК</t>
  </si>
  <si>
    <t>НВ007510</t>
  </si>
  <si>
    <t>РНДЗ-35 ЛР 35 Т-168</t>
  </si>
  <si>
    <t>НВ007256</t>
  </si>
  <si>
    <t>ТМ-40/10 1ТСН 10</t>
  </si>
  <si>
    <t>ПС 35 кВ Кирзавод</t>
  </si>
  <si>
    <t>ТМ-2500/35 2Т</t>
  </si>
  <si>
    <t xml:space="preserve">ТМ-25/6  2ТСН 6 </t>
  </si>
  <si>
    <t>ВМП-10 В 6 яч 3, В 6 яч 13, В 6 яч 15</t>
  </si>
  <si>
    <t>ПС 35 кВ Красная</t>
  </si>
  <si>
    <t xml:space="preserve">НВ007364 НВ030102 НВ030103 </t>
  </si>
  <si>
    <t>ВТ-35 В 35 1Т, В 35 2Т, СВ 35</t>
  </si>
  <si>
    <t>НВ030104  НВ030095 НВ007365 НВ030106  НВ007361 НВ030105 НВ030093 НВ030094</t>
  </si>
  <si>
    <t>РНДЗ-35 РРП 35 Т-173, РРП 35 Т-203, ШР 35 1Т, ШР 35 2Т, ЛР 35 Т-173, ЛР 35 Т-203, СР 35 1с, СР 35 2с</t>
  </si>
  <si>
    <t>НВ030042 НВ030043 НВ007362 НВ030096</t>
  </si>
  <si>
    <t xml:space="preserve"> НОМ-35 ТН 35 1с, ТН 35 2с</t>
  </si>
  <si>
    <t>ПС 35 кВ ЛПБ</t>
  </si>
  <si>
    <t>НВ007279</t>
  </si>
  <si>
    <t>ТПЛ-10 на ТЛК-10 ТТ 6 яч 18</t>
  </si>
  <si>
    <t>НВ029948 НВ029949 НВ007283 НВ029947 НВ029947 НВ007286</t>
  </si>
  <si>
    <t>РНДЗ-35 ШР 35 1Т, ШР 35 2Т, СР 35 1с, СР 35 2с, ЛР 35 Т-168, ЛР 35 Т-162</t>
  </si>
  <si>
    <t>ПС 35 кВ НПЗ</t>
  </si>
  <si>
    <t>НВ030264</t>
  </si>
  <si>
    <t>ТПЛ-10 на ТЛК-10 ТТ 6 яч 17</t>
  </si>
  <si>
    <t>HB030246 HB030245  HB007470   HB030249 HB030254 HB030255 HB030251 HB030252  HB030256 HB007472 HB030253  HB030250 HB030263 HB030274 HB030270 HB030265 HB030264  HB030271 HB030258 HB030262 HB030261 НВ030267</t>
  </si>
  <si>
    <t>РЛНД-35 ЛР 35 Т-211, ЛР 35 Т-169, ЛР 35 Т-182, ШР 35 Т-182, ШР 35 Т-169, ШР 35 Т-211, СР 35 1с, СР 35 2с, ШР 35 ТН 1с, ШР 35 ТН 2с, ШР 35 1Т, ШР 110 2Т</t>
  </si>
  <si>
    <t>РВ-10 ШР 6 ТН 6 2с, ШР 6 1Т яч 3, ЛР 6 яч 7, ШР 6 яч 7, СР 6  2с, ЛР 6 яч 17, ШР 6 яч 17, ШР 6 2Т, ЛР 6 яч 6, ШР 6 яч 6, ЛР 6 яч 26, ШР 6 яч 26, ЛР 6 яч 20, ШР 6 яч 20, ЛР 6 яч 22, ШР 6 яч 22  СР 6 1с</t>
  </si>
  <si>
    <t>ВМГ-133 В 6 1Т, В 6 яч 7, СВ 6, В 6 яч 17, В 6 2Т, В 6 яч 6 , В 6 яч 26 , В 6 яч 20, В 6 яч 22</t>
  </si>
  <si>
    <t>ПС 35 кВ Объект-10</t>
  </si>
  <si>
    <t>НВ007248</t>
  </si>
  <si>
    <t>ТМ-63/6 1ТСН 6</t>
  </si>
  <si>
    <t>ПС 35 кВ ПТО</t>
  </si>
  <si>
    <t>HB007277</t>
  </si>
  <si>
    <t>Lhci-10 В 6 яч 10</t>
  </si>
  <si>
    <t>ПС 35 кВ Таежная</t>
  </si>
  <si>
    <t xml:space="preserve">НВ007263 НВ001263 </t>
  </si>
  <si>
    <t>ТМ-40/6 1ТСН 6, 2ТСН 6</t>
  </si>
  <si>
    <t>ПС 35 кВ ТН</t>
  </si>
  <si>
    <t xml:space="preserve">НВ007327  НВ007284  </t>
  </si>
  <si>
    <t>ТДНС-10000/35, ТМ-7500/35 1Т, 2Т</t>
  </si>
  <si>
    <t>НВ007508 НВ030470</t>
  </si>
  <si>
    <t>ТМ-63/6 1ТСН 6, 2ТСН 6</t>
  </si>
  <si>
    <t>ПС 35кВ Болин</t>
  </si>
  <si>
    <t>HB005325</t>
  </si>
  <si>
    <t>РЛНД-35 ЛР 35 Т-181</t>
  </si>
  <si>
    <t>HB005363</t>
  </si>
  <si>
    <t>ВМП-10 В 10 1Т яч.3</t>
  </si>
  <si>
    <t>ПС 35 кВ Дальняя</t>
  </si>
  <si>
    <t>HB005321</t>
  </si>
  <si>
    <t>ТМН-2500/6 1Т</t>
  </si>
  <si>
    <t xml:space="preserve">ПС 35 кВ Менгон </t>
  </si>
  <si>
    <t>HB005390</t>
  </si>
  <si>
    <t>ТМ-100/35 2ТСН 35</t>
  </si>
  <si>
    <t>HB029355</t>
  </si>
  <si>
    <t>ПС 35 кВ Приусадебная</t>
  </si>
  <si>
    <t>HB029306  HB029311  HB029307  HB029308  HB029309  HB029310  HB005429  HB029304  HB029370</t>
  </si>
  <si>
    <t>РЛНД-35 СР 35 1с, СР 35 2с; ЛР 35 Т-193, ЛР 35 Т-240,  ШР 35 Т-193, ШР 35 Т-240; ШР 35 2ТСН, ШР 35 ТН 1с, ШР 35 2с</t>
  </si>
  <si>
    <t>ПС 35 кВ Тейсин</t>
  </si>
  <si>
    <t>HB005381</t>
  </si>
  <si>
    <t>ТМ-4000/35 1Т</t>
  </si>
  <si>
    <t>HB005423</t>
  </si>
  <si>
    <t>РЛНД-35 ШР 35 1Т</t>
  </si>
  <si>
    <t>ПС 35кВ Городская</t>
  </si>
  <si>
    <t>HB035211</t>
  </si>
  <si>
    <t>РНДЗ 35 ШР 35 1Т, ШР 35 ТН 2с</t>
  </si>
  <si>
    <t>HB035201</t>
  </si>
  <si>
    <t>ТПЛ-10 на ТЛП-10 ТТ 10 яч. 13</t>
  </si>
  <si>
    <t xml:space="preserve">Замена трансформаторов тока </t>
  </si>
  <si>
    <t>яч 13</t>
  </si>
  <si>
    <t>Замена опорных изоляторов 6-10 кВ</t>
  </si>
  <si>
    <t>ПС 35кВ КТПН-2</t>
  </si>
  <si>
    <t>HB035150</t>
  </si>
  <si>
    <t>РНДЗ 35 ЛР 35 Т-226</t>
  </si>
  <si>
    <t>МГ, По состоянию</t>
  </si>
  <si>
    <t xml:space="preserve">ПС 35кВ Центральная </t>
  </si>
  <si>
    <t>НВ034481</t>
  </si>
  <si>
    <t>ТМ 6300/35 1Т</t>
  </si>
  <si>
    <t>HB035220</t>
  </si>
  <si>
    <t>ЩСН</t>
  </si>
  <si>
    <t xml:space="preserve">Ремонт собственных нужд </t>
  </si>
  <si>
    <t>ТП6-10/0,4 кВ</t>
  </si>
  <si>
    <t>HB006161</t>
  </si>
  <si>
    <t>ЦРП-36 г.Комсомольск-на Амуре</t>
  </si>
  <si>
    <t>HB031834</t>
  </si>
  <si>
    <t>ЦРП-11 п.Молодёжный</t>
  </si>
  <si>
    <t>ТЛП-10: ТТ 6 яч.10 ф.А, С</t>
  </si>
  <si>
    <t>HB006012</t>
  </si>
  <si>
    <t>КТП-305 п.Хапсоль</t>
  </si>
  <si>
    <t>Замена контактов предохранителя - 6 шт</t>
  </si>
  <si>
    <t>Окраска оборудования - 28 м2
Восстановление надписей - 30 букв</t>
  </si>
  <si>
    <t>HB006000</t>
  </si>
  <si>
    <t>КТП-323 п.Хумми</t>
  </si>
  <si>
    <t>Установка разрядников - 3 шт</t>
  </si>
  <si>
    <t>Окраска оборудования - 56 м2
Восстановление надписей - 30 букв</t>
  </si>
  <si>
    <t>HB006031</t>
  </si>
  <si>
    <t>КТП-325 Сады</t>
  </si>
  <si>
    <t xml:space="preserve"> HB006103</t>
  </si>
  <si>
    <t>КТП-330 п.Новый Мир</t>
  </si>
  <si>
    <t>Замена АВ - 2 шт
Установка АВ - 1 шт
Замена контактов предохранителя - 6 шт
Ошиновка АВ - 1,8м</t>
  </si>
  <si>
    <t>HB005996</t>
  </si>
  <si>
    <t>КТП-336 п.Хурба</t>
  </si>
  <si>
    <t>Замена контактов предохранителя - 6 шт
Ремонт разъединителя - 1 шт</t>
  </si>
  <si>
    <t xml:space="preserve"> HB006107</t>
  </si>
  <si>
    <t>КТП-338 п.Молодежный</t>
  </si>
  <si>
    <t>Окраска оборудования - 32 м2
Восстановление надписей - 30 букв</t>
  </si>
  <si>
    <t>HB005999</t>
  </si>
  <si>
    <t>КТП-347  п.Новый Мир</t>
  </si>
  <si>
    <t>КТП-601 п.Пивань</t>
  </si>
  <si>
    <t>Замена рубильников на АВ - 3 шт</t>
  </si>
  <si>
    <t>HB005636 
НВ005634</t>
  </si>
  <si>
    <t>ТП-311 п.Хапсоль</t>
  </si>
  <si>
    <t>Ремонт освещения ТП</t>
  </si>
  <si>
    <t>HB005632, HB005991</t>
  </si>
  <si>
    <t>ТП-343 п.Молодежный</t>
  </si>
  <si>
    <t>HB005641, HB006068, HB029497</t>
  </si>
  <si>
    <t>ТП-366  г.Комсомольск-на Амуре</t>
  </si>
  <si>
    <t>Установка рубильника - 1 шт
Ремонт ВН - 1 шт</t>
  </si>
  <si>
    <t>HB005643, НВ006081</t>
  </si>
  <si>
    <t>ТП-368  г.Комсомольск-на Амуре</t>
  </si>
  <si>
    <t>Установка рубильника - 1 шт
Ремонт ВН -4 шт</t>
  </si>
  <si>
    <t>Ремонт ВМГ-10 - 1 шт</t>
  </si>
  <si>
    <t>Окраска оборудования - 28 м2
Восстановление надписей - 50 букв</t>
  </si>
  <si>
    <t>HB0006131</t>
  </si>
  <si>
    <t>ТП-501 п.Индустриальный</t>
  </si>
  <si>
    <t>Ремонт РВ - 2 шт
Замена контактов предохранителя - 12 шт
Замена рубильников на АВ - 8 шт</t>
  </si>
  <si>
    <t>Ремонт ВН - 2 шт</t>
  </si>
  <si>
    <t>HB006048</t>
  </si>
  <si>
    <t>ЦРП-12  г.Комсомольск-на Амуре</t>
  </si>
  <si>
    <t>Замена опорных изоляторов - 63 шт</t>
  </si>
  <si>
    <t>HB0033424</t>
  </si>
  <si>
    <t>ЦРП-27  г.Комсомольск-на Амуре</t>
  </si>
  <si>
    <t>Ремонт ВН -2 шт</t>
  </si>
  <si>
    <t>Окраска оборудования - 56 м2
Восстановление надписей - 10 букв</t>
  </si>
  <si>
    <t>HB006149</t>
  </si>
  <si>
    <t>КТП-7 с.Вознесенское</t>
  </si>
  <si>
    <t>Окраска оборудования - 50 м2
Восстановление надписей - 100 букв</t>
  </si>
  <si>
    <t>HB006128</t>
  </si>
  <si>
    <t>КТП-8 с.Вознесенское</t>
  </si>
  <si>
    <t>Окраска оборудования - 56 м2
Восстановление надписей - 100 букв</t>
  </si>
  <si>
    <t>HB006130</t>
  </si>
  <si>
    <t>КТП-9 с.Вознесенское</t>
  </si>
  <si>
    <t>HB033620</t>
  </si>
  <si>
    <t>КТП-10 с.Бриакан</t>
  </si>
  <si>
    <t>Замена предохранителя - 3 шт
Ремонт разъединителя - 1 шт
Ремонт контура заземления - 6шт
Замена АВ - 1 шт</t>
  </si>
  <si>
    <t>Окраска оборудования - 30 м2
Восстановление надписей - 100 букв</t>
  </si>
  <si>
    <t>HB033627</t>
  </si>
  <si>
    <t>КТП-11 с.Бриакан</t>
  </si>
  <si>
    <t>Ремонт контура заземления - 6шт</t>
  </si>
  <si>
    <t>Окраска оборудования - 1,4 м2</t>
  </si>
  <si>
    <t>HB035178</t>
  </si>
  <si>
    <t>ТП-9 п.Болонь</t>
  </si>
  <si>
    <t>ТМ-63/10: 1Т</t>
  </si>
  <si>
    <t>HB035295</t>
  </si>
  <si>
    <t>ТП-47 г.Амурск</t>
  </si>
  <si>
    <t>ТМ-400/6: 1Т</t>
  </si>
  <si>
    <t>HB006024</t>
  </si>
  <si>
    <t>ТП-316 п.Хапсоль</t>
  </si>
  <si>
    <t>ТМ-400/6</t>
  </si>
  <si>
    <t>HB035298</t>
  </si>
  <si>
    <t>ТП-44 г.Амурск</t>
  </si>
  <si>
    <t>ТМ-630/6: 1Т</t>
  </si>
  <si>
    <t>7.29.</t>
  </si>
  <si>
    <t>HB035330</t>
  </si>
  <si>
    <t>ТП-60 г.Амурск</t>
  </si>
  <si>
    <t>ТМ-630/6: 2Т</t>
  </si>
  <si>
    <t>7.30.</t>
  </si>
  <si>
    <t>HB035604</t>
  </si>
  <si>
    <t>ТП-76 п.Эльбан</t>
  </si>
  <si>
    <t>7.31.</t>
  </si>
  <si>
    <t>HB006064</t>
  </si>
  <si>
    <t>ТП-366 г.Комсомольск-на-Амуре</t>
  </si>
  <si>
    <t>7.32.</t>
  </si>
  <si>
    <t>HB006066</t>
  </si>
  <si>
    <t>7.33.</t>
  </si>
  <si>
    <t>HB006076</t>
  </si>
  <si>
    <t>ТП-370 г.Комсомольск-на-Амуре</t>
  </si>
  <si>
    <t>7.34.</t>
  </si>
  <si>
    <t>HB035276</t>
  </si>
  <si>
    <t>ТП-Поселковая п.Омми</t>
  </si>
  <si>
    <t>7.35.</t>
  </si>
  <si>
    <t>HB039532</t>
  </si>
  <si>
    <t>КТПН-Подгорное</t>
  </si>
  <si>
    <t>Замена изоляторов- 9 шт.</t>
  </si>
  <si>
    <t>Покраска 30 м2</t>
  </si>
  <si>
    <t>7.36.</t>
  </si>
  <si>
    <t>HB005337</t>
  </si>
  <si>
    <t>МТП-16 п. Литовко</t>
  </si>
  <si>
    <t>Замена рубильника - 2 шт</t>
  </si>
  <si>
    <t>7.37.</t>
  </si>
  <si>
    <t>ТП-3 г.Амурск</t>
  </si>
  <si>
    <t>HB035418
HB035579</t>
  </si>
  <si>
    <t>Замена изоляторов- 6 шт.
Замена предохран - 9 шт.</t>
  </si>
  <si>
    <t>7.38.</t>
  </si>
  <si>
    <t>ТП-19 .г.Амурск</t>
  </si>
  <si>
    <t>HB035562
HB035736</t>
  </si>
  <si>
    <t>7.39.</t>
  </si>
  <si>
    <t>ТП 43 г.Амурск</t>
  </si>
  <si>
    <t>HB035273</t>
  </si>
  <si>
    <t>Ремонт выключателя нагрузки - 2 шт.
Ремонт разъединителя - 4 шт.
Замена изоляторов- 30 шт.</t>
  </si>
  <si>
    <t>Покраска 13 м2.</t>
  </si>
  <si>
    <t>7.40.</t>
  </si>
  <si>
    <t>ТП-34 г.Амурск</t>
  </si>
  <si>
    <t>HB035492
HB035493</t>
  </si>
  <si>
    <t>Замена изоляторов - 2 шт.
Монтаж шинного моста - 12 м</t>
  </si>
  <si>
    <t>7.41.</t>
  </si>
  <si>
    <t>ТП-81 г.Амурск</t>
  </si>
  <si>
    <t>HB035713
HB035542</t>
  </si>
  <si>
    <t>Замена изоляторов - 2 шт.</t>
  </si>
  <si>
    <t>7.42.</t>
  </si>
  <si>
    <t>ТП-92 г.Амурск</t>
  </si>
  <si>
    <t>HB035379,
HB035700
HB035378,
HB035701</t>
  </si>
  <si>
    <t>Замена изоляторов - 12 шт.</t>
  </si>
  <si>
    <t>7.43.</t>
  </si>
  <si>
    <t>ЦРП-1 г.Амурск</t>
  </si>
  <si>
    <t>HB034597
HB035424</t>
  </si>
  <si>
    <t>Установка автоматического выключателя - 1 шт.
Замена изоляторов - 12 шт.</t>
  </si>
  <si>
    <t>7.44.</t>
  </si>
  <si>
    <t>ЦРП-2 г.Амурск</t>
  </si>
  <si>
    <t>HB035437</t>
  </si>
  <si>
    <t>Замена трансформаторов тока - 2 шт.</t>
  </si>
  <si>
    <t>7.45.</t>
  </si>
  <si>
    <t>МТП-13 п. Санболи</t>
  </si>
  <si>
    <t>HB035175</t>
  </si>
  <si>
    <t>Замена предохран - 3 шт.</t>
  </si>
  <si>
    <t>7.46.</t>
  </si>
  <si>
    <t>ТП-ПНС г.Амурск</t>
  </si>
  <si>
    <t>HB035151</t>
  </si>
  <si>
    <t>Замена трансформаторов напряжения - 2 шт.
Замена трансформаторов тока - 4 шт.
Замена изоляторов - 8 шт.</t>
  </si>
  <si>
    <t>7.47.</t>
  </si>
  <si>
    <t>КТПН-2 п. Санболи</t>
  </si>
  <si>
    <t>HB035171</t>
  </si>
  <si>
    <t>Покраска 30 м2
Ремонт рубильника - 2 шт.</t>
  </si>
  <si>
    <t>7.48.</t>
  </si>
  <si>
    <t>КТПН-12 п. Литовко</t>
  </si>
  <si>
    <t>HB005333</t>
  </si>
  <si>
    <t xml:space="preserve">ТМ 250/10/0,4 </t>
  </si>
  <si>
    <t>7.49.</t>
  </si>
  <si>
    <t xml:space="preserve">Ремонт ТМ 400/10/0,4 </t>
  </si>
  <si>
    <t>Ремонт разъединителя - 1 шт.
Замена предохранителя- 3 шт</t>
  </si>
  <si>
    <t>7.50.</t>
  </si>
  <si>
    <t>ТП-3 г. Амурск</t>
  </si>
  <si>
    <t>HB035269
HB035304</t>
  </si>
  <si>
    <t>ТМ 400/6/0,4,  ТМ 400/6/0,4</t>
  </si>
  <si>
    <t>HB035579
HB035418</t>
  </si>
  <si>
    <t>Ремонт двери - 10 шт.
Ремонт рубильника - 15 шт.
Ремонт разъединителя - 4 шт.
Ремонт МВ - 1 шт.
Ремонт выключателя нагрузки - 4 шт.
Замена предохранителя- 9 шт</t>
  </si>
  <si>
    <t>7.51.</t>
  </si>
  <si>
    <t>ТП-19 г. Амурск</t>
  </si>
  <si>
    <t>HB035208</t>
  </si>
  <si>
    <t xml:space="preserve"> ТМ 630/6/0,4 </t>
  </si>
  <si>
    <t>Ремонт рубильника - 6 шт.
Ремонт двери - 12 шт.
Ремонт выключателя нагрузки - 1 шт.
Ремонт разъединителя - 3 шт.
Замена предохран - 6 шт.</t>
  </si>
  <si>
    <t>7.52.</t>
  </si>
  <si>
    <t xml:space="preserve">ТП-34 г. Амурск </t>
  </si>
  <si>
    <t>HB035327</t>
  </si>
  <si>
    <t>ТМ 400/10/0,4</t>
  </si>
  <si>
    <t>HB035493
HB035492</t>
  </si>
  <si>
    <t>Ремонт двери - 12 шт.
Ремонт рубильника - 7 шт.
Ремонт разъединителя - 3 шт.
Ремонт выключателя нагрузки - 6 шт.
Замена предохран - 9 шт.</t>
  </si>
  <si>
    <t>7.53.</t>
  </si>
  <si>
    <t>ТП-47  г.Амурск</t>
  </si>
  <si>
    <t>ТМ 400/6/0,4</t>
  </si>
  <si>
    <t>7.54.</t>
  </si>
  <si>
    <t>HB035314
HB035539</t>
  </si>
  <si>
    <t>ТМ 630/6/0,4</t>
  </si>
  <si>
    <t>Ремонт двери - 14 шт.
Ремонт рубильника - 10 шт.
Ремонт выключателя нагрузки - 4 шт.
Замена предохран - 12 шт.</t>
  </si>
  <si>
    <t>7.55.</t>
  </si>
  <si>
    <t>HB035380
HB035381</t>
  </si>
  <si>
    <t>HB035378
HB035701
HB035379
HB035700</t>
  </si>
  <si>
    <t>Ремонт двери - 16 шт.
Ремонт рубильника - 14 шт.
Ремонт разъединителя - 2 шт.
Ремонт выключателя нагрузки - 3 шт.
Замена предохран - 12 шт.</t>
  </si>
  <si>
    <t>7.56.</t>
  </si>
  <si>
    <t>HB035424
HB034597</t>
  </si>
  <si>
    <t>Ремонт МВ - 9 шт.
Ремонт разъединителя - 21 шт.
Замена предохран - 9 шт.</t>
  </si>
  <si>
    <t>7.57.</t>
  </si>
  <si>
    <t>HB035287</t>
  </si>
  <si>
    <t>Ремонт МВ - 10 шт.
Ремонт разъединителя - 18 шт.</t>
  </si>
  <si>
    <t>7.58.</t>
  </si>
  <si>
    <t>Замена предохран - 6 шт.</t>
  </si>
  <si>
    <t>7.59.</t>
  </si>
  <si>
    <t>HB034830</t>
  </si>
  <si>
    <t>ТП-52 пгт. Эльбан</t>
  </si>
  <si>
    <t>Замена  разъединителя выключателем нагрузки - 2 шт.</t>
  </si>
  <si>
    <t>7.60.</t>
  </si>
  <si>
    <t>HB034799</t>
  </si>
  <si>
    <t>ТП-44 пгт. Эльбан</t>
  </si>
  <si>
    <t>Замена рубильника - 1шт., Замена  разъединителя выключателем нагрузки - 2 шт, Замена предохранителя - 6 шт.</t>
  </si>
  <si>
    <t>Покраска, чистка от грязи и ржавчины 10 м2</t>
  </si>
  <si>
    <t>7.61.</t>
  </si>
  <si>
    <t xml:space="preserve"> HB034866</t>
  </si>
  <si>
    <t>КТПН- 2-я Поселковая пгт. Эльбан</t>
  </si>
  <si>
    <t>Замена рубильника - 2шт..</t>
  </si>
  <si>
    <t>7.62.</t>
  </si>
  <si>
    <t>HB007137</t>
  </si>
  <si>
    <t>КТП-18 В.Чегдомын</t>
  </si>
  <si>
    <t>ТР 1Т
ТР РВ - 1 шт</t>
  </si>
  <si>
    <t>Окраска оборудования - 86,75 м2</t>
  </si>
  <si>
    <t>7.63.</t>
  </si>
  <si>
    <t>HB007134</t>
  </si>
  <si>
    <t>КТП-50 Ср.Ургал</t>
  </si>
  <si>
    <t>ТР 1Т</t>
  </si>
  <si>
    <t>Окраска оборудования -  81,52м2</t>
  </si>
  <si>
    <t>7.64.</t>
  </si>
  <si>
    <t>HB007139</t>
  </si>
  <si>
    <t>КТП-55 В.Чегдомын</t>
  </si>
  <si>
    <t>Окраска оборудования - 92,37 м2</t>
  </si>
  <si>
    <t>7.65.</t>
  </si>
  <si>
    <t>HB007164</t>
  </si>
  <si>
    <t>КТП-Радуга В.Чегдомын</t>
  </si>
  <si>
    <t>Окраска оборудования - 18 м2</t>
  </si>
  <si>
    <t>7.66.</t>
  </si>
  <si>
    <t>HB007075</t>
  </si>
  <si>
    <t>ТП-15 В.Чегдомын</t>
  </si>
  <si>
    <t>ТР 1Т, 2Т
ТР ВН - 4 шт
Замена рубильника - 2 шт
ТР рубильника - 8 шт</t>
  </si>
  <si>
    <t>Окраска оборудования - 7 м2
Установка замков - 4 шт</t>
  </si>
  <si>
    <t>7.67.</t>
  </si>
  <si>
    <t>HB007084</t>
  </si>
  <si>
    <t>ТП-16 В.Чегдомын</t>
  </si>
  <si>
    <t>ТР 1Т, 2Т
ТР РВ - 2 шт
ТР ВН - 3 шт
Замена рубильника 1 шт
ТР рубильника - 2 шт
ТР АВ - 7 шт</t>
  </si>
  <si>
    <t>Окраска оборудования - 25 м2
Установка замков - 3 шт</t>
  </si>
  <si>
    <t>7.68.</t>
  </si>
  <si>
    <t>HB007074</t>
  </si>
  <si>
    <t>ТП-25 В.Чегдомын</t>
  </si>
  <si>
    <t>ТР 1Т, 2Т
ТР РВ - 9 шт
ТР ВН -2 шт
Замена рубильника - 2 шт
Ремонт рубильника - 4 шт</t>
  </si>
  <si>
    <t>Окраска оборудования - 17 м2</t>
  </si>
  <si>
    <t>7.69.</t>
  </si>
  <si>
    <t>HB033433</t>
  </si>
  <si>
    <t>ТП-83 Ср.Ургал</t>
  </si>
  <si>
    <t>ТР 1Т, 2Т
ТР РВ -2  шт
ТР ВН - 3 шт
ТР рубильника - 5 шт</t>
  </si>
  <si>
    <t>Окраска оборудования - 64 м2</t>
  </si>
  <si>
    <t>7.70.</t>
  </si>
  <si>
    <t>HB032361</t>
  </si>
  <si>
    <t>ТП-2 г.Николаевск-на-Амуре</t>
  </si>
  <si>
    <t>ТР 1Т, замена рубильника-2шт, замена предохранителкй-3шт</t>
  </si>
  <si>
    <t>восстановление надписей-70букв</t>
  </si>
  <si>
    <t>7.71.</t>
  </si>
  <si>
    <t>HB032332</t>
  </si>
  <si>
    <t>ТП-8 г.Николаевск-на-Амуре</t>
  </si>
  <si>
    <t>восстановление надписей-75букв</t>
  </si>
  <si>
    <t>7.72.</t>
  </si>
  <si>
    <t>HB032123</t>
  </si>
  <si>
    <t>КТП-47 г.Николаевск-на-Амуре</t>
  </si>
  <si>
    <t>ТР 1Т, замена рубильника-2шт, замена предохранителей-3шт</t>
  </si>
  <si>
    <t>окраска корпуса-32м2, восстановление надписей-75букв</t>
  </si>
  <si>
    <t>7.73.</t>
  </si>
  <si>
    <t>HB032095</t>
  </si>
  <si>
    <t>КТП-26 г.Николаевск-на-Амуре</t>
  </si>
  <si>
    <t>замена рубильника-2шт, установка АВ-1шт</t>
  </si>
  <si>
    <t>7.74.</t>
  </si>
  <si>
    <t>HB032127</t>
  </si>
  <si>
    <t>КТП-93 г.Николаевск-на-Амуре</t>
  </si>
  <si>
    <t>7.75.</t>
  </si>
  <si>
    <t>HB032357   НВ032056</t>
  </si>
  <si>
    <t>ТП-92 г.Николаевск-на-Амуре</t>
  </si>
  <si>
    <t>замена рубильника-2шт, замена предохранителей-3шт</t>
  </si>
  <si>
    <t>ремонт дверей с усиленим металлом-4шт, восстановление надписей-75букв</t>
  </si>
  <si>
    <t>7.76.</t>
  </si>
  <si>
    <t>HB032323   НВ032064</t>
  </si>
  <si>
    <t>ТП-103 г.Николаевск-на-Амуре</t>
  </si>
  <si>
    <t xml:space="preserve"> замена рубильника-2шт, , замена предохранителей-3шт</t>
  </si>
  <si>
    <t>окраска дверей -25м2, восстановление надписей-75букв</t>
  </si>
  <si>
    <t>7.77.</t>
  </si>
  <si>
    <t>HB032325   НВ032066</t>
  </si>
  <si>
    <t>ТП-108 г.Николаевск-на-Амуре</t>
  </si>
  <si>
    <t>ТР 1Т, замена рубильника-2шт,  замена предохранителей-3шт</t>
  </si>
  <si>
    <t>ремонт дверей с усиленим металлом-2шт, восстановление надписей-75букв</t>
  </si>
  <si>
    <t>7.78.</t>
  </si>
  <si>
    <t>HB032083</t>
  </si>
  <si>
    <t>КТП-1 с. Иннокентьевка</t>
  </si>
  <si>
    <t>ТР 1Т, замена АВ-1шт</t>
  </si>
  <si>
    <t>восстановление надписей-50букв</t>
  </si>
  <si>
    <t>7.79.</t>
  </si>
  <si>
    <t>HB032094</t>
  </si>
  <si>
    <t>КТП-2 с. Иннокентьевка</t>
  </si>
  <si>
    <t>ремонт дверей с усиленим металлом-1шт, восстановление надписей-50букв</t>
  </si>
  <si>
    <t>7.80.</t>
  </si>
  <si>
    <t>HB032072   НВ032291</t>
  </si>
  <si>
    <t>ТП-3 с. Иннокентьевка</t>
  </si>
  <si>
    <t>7.81.</t>
  </si>
  <si>
    <t>HB032292</t>
  </si>
  <si>
    <t>КТП-5С с. Сахаровка</t>
  </si>
  <si>
    <t>замена рубильника на АВ-2шт</t>
  </si>
  <si>
    <t>7.82.</t>
  </si>
  <si>
    <t>HB032301</t>
  </si>
  <si>
    <t>КТП-1 с. Чля</t>
  </si>
  <si>
    <t>7.83.</t>
  </si>
  <si>
    <t>HB032302</t>
  </si>
  <si>
    <t>КТП-2 с. Чля</t>
  </si>
  <si>
    <t>7.84.</t>
  </si>
  <si>
    <t>HB032303</t>
  </si>
  <si>
    <t>КТП-3 с. Чля</t>
  </si>
  <si>
    <t>7.85.</t>
  </si>
  <si>
    <t>HB032097</t>
  </si>
  <si>
    <t>КТП-5 с. Чля</t>
  </si>
  <si>
    <t>7.86.</t>
  </si>
  <si>
    <t>HB032294</t>
  </si>
  <si>
    <t>КТП-1 п. Маго</t>
  </si>
  <si>
    <t>ТР 1Т, замена АВ-2шт</t>
  </si>
  <si>
    <t>7.87.</t>
  </si>
  <si>
    <t>HB032299</t>
  </si>
  <si>
    <t>КТП-10 п. Маго</t>
  </si>
  <si>
    <t>HB032088</t>
  </si>
  <si>
    <t>КТП-11 п. Маго</t>
  </si>
  <si>
    <t>ТР 1Т, замена АВ-3шт</t>
  </si>
  <si>
    <t>HB032077   НВ032360</t>
  </si>
  <si>
    <t>ТП-5 п. Маго</t>
  </si>
  <si>
    <t>замена АВ-1шт</t>
  </si>
  <si>
    <t>ремонт дверей с усиленим металлом-2шт, восстановление надписей-50букв</t>
  </si>
  <si>
    <t>HB033357</t>
  </si>
  <si>
    <t>КАМАЗ-43118 с КМУ В723КО</t>
  </si>
  <si>
    <t>HB038715</t>
  </si>
  <si>
    <t>Экскаватор TLB-825 ХР07-84</t>
  </si>
  <si>
    <t>СМТ</t>
  </si>
  <si>
    <t>PR0024778</t>
  </si>
  <si>
    <t>Автомобиль БКМ-317-01, А 733 КК</t>
  </si>
  <si>
    <t>НВ031855</t>
  </si>
  <si>
    <t>Автомобиль БКМ-317-01, А 969 ЕА 27</t>
  </si>
  <si>
    <t>HB011527</t>
  </si>
  <si>
    <t>Вездеход МТ-ЛБВ (широкая гусеница)   29-71 ХТ 27 (Тягач гусеничный МТЛБ)</t>
  </si>
  <si>
    <t>HB030716</t>
  </si>
  <si>
    <t xml:space="preserve">Бурильно-крановая машина БКМ-317 (5 мест) на шасси ГАЗ-33081   М 094 НМ </t>
  </si>
  <si>
    <t>НВ007737</t>
  </si>
  <si>
    <t>Автомобиль ГАЗ-66   М 429 АЕ</t>
  </si>
  <si>
    <t>НВ036551</t>
  </si>
  <si>
    <t>Кран-манипулятор многофункциональный  МКМ-200 В 693 УС 27</t>
  </si>
  <si>
    <t>НВ007744</t>
  </si>
  <si>
    <t>Автомобиль КАМАЗ 5511 Самосвал Х 082 СМ</t>
  </si>
  <si>
    <t>HB031606</t>
  </si>
  <si>
    <t>ГАЗ -3308 (специальная буровая БКМ-317) гос. номер А 939 ЕН</t>
  </si>
  <si>
    <t>замена гидроцилиндра-2шт</t>
  </si>
  <si>
    <t>замена подшипников-4шт</t>
  </si>
  <si>
    <t xml:space="preserve">HB036359 </t>
  </si>
  <si>
    <t xml:space="preserve">бульдозер Shantui SD 23 гос. номер 10-74 ХН </t>
  </si>
  <si>
    <t xml:space="preserve">HB031610 </t>
  </si>
  <si>
    <t>баровая грунторезная машина (БГМ-2У) гос. номер 13-41 ХМ</t>
  </si>
  <si>
    <t>насос водяной - 1шт</t>
  </si>
  <si>
    <t>НВ036235</t>
  </si>
  <si>
    <t>КАМАЗ-65225-43 (тягач седельный) гос. номер В 963 ТА</t>
  </si>
  <si>
    <t xml:space="preserve">HB036150 </t>
  </si>
  <si>
    <t xml:space="preserve">МКМ-200А (на базе УРАЛ-4320) гос. номер Н 095 ЕВ </t>
  </si>
  <si>
    <t>Фильтр напорный-1шт, Фильтр всасывающий-1шт</t>
  </si>
  <si>
    <t>Насос водяной-1шт, Насос основной-1шт</t>
  </si>
  <si>
    <t>Резец-20шт, Забурник-1шт</t>
  </si>
  <si>
    <t>Домкраты передних опор-2шт, Домкраты задних опор-2шт</t>
  </si>
  <si>
    <t>ZS0000175</t>
  </si>
  <si>
    <t xml:space="preserve">Тягач МТЛБ-4  гос. номер 10-20 ХМ </t>
  </si>
  <si>
    <t>балансир задний левый-1шт, балансир задний правый-1шт</t>
  </si>
  <si>
    <t>Втулка балансира наружная-12шт, Втулка балансира внутренняя-12шт</t>
  </si>
  <si>
    <t>AS0001217</t>
  </si>
  <si>
    <t>ГАЗ -33086 (на подъемник с рабочей платформой ПСС-131.17Э) гос. номер А 558 ВТ</t>
  </si>
  <si>
    <t>PR0023064</t>
  </si>
  <si>
    <t xml:space="preserve">УАЗ-390994 гос. номер А 563 ВТ </t>
  </si>
  <si>
    <t>AS0000800</t>
  </si>
  <si>
    <t xml:space="preserve">УАЗ-390995 гос. номер А 567 ВТ </t>
  </si>
  <si>
    <t>8.1.21.</t>
  </si>
  <si>
    <t>PR0023870</t>
  </si>
  <si>
    <t>экскаватор – бульдозер погрузчик (ЭБП-7 на базе МТЗ-82) гос. номер 10-19 ХМ</t>
  </si>
  <si>
    <t>8.3.</t>
  </si>
  <si>
    <t xml:space="preserve">Здания и сооружения </t>
  </si>
  <si>
    <t>НВ034330</t>
  </si>
  <si>
    <t>Приложение 1 к приказу АО "ДРСК" от 29.11.2019    № 412</t>
  </si>
  <si>
    <t>мероприятия 
по снижению аварий в период массовых отключений</t>
  </si>
  <si>
    <t>ТП-65 г. Амурск</t>
  </si>
  <si>
    <t>Ремонт кровли</t>
  </si>
  <si>
    <t>Ремонт отмостки</t>
  </si>
  <si>
    <t>НВ033638</t>
  </si>
  <si>
    <t>ТП-1 г. Амурск</t>
  </si>
  <si>
    <t>НВ034830</t>
  </si>
  <si>
    <t>ТП-52 п. Эльбан</t>
  </si>
  <si>
    <t>НВ005648</t>
  </si>
  <si>
    <t>ТП-356 п. Таежный</t>
  </si>
  <si>
    <t>Ремонт стен</t>
  </si>
  <si>
    <t>устройство водопроводной канавы</t>
  </si>
  <si>
    <t>Ремонт полов</t>
  </si>
  <si>
    <t>НВ005637</t>
  </si>
  <si>
    <t>АРТН № 456 от 18.07.2019</t>
  </si>
  <si>
    <t>акт № 456</t>
  </si>
  <si>
    <t>ТП-316 п. Хапсоль</t>
  </si>
  <si>
    <t>Комсомольский 
участок</t>
  </si>
  <si>
    <t>НВ035007</t>
  </si>
  <si>
    <t>ТП-3 с. Вознесенское</t>
  </si>
  <si>
    <t>НВ032058</t>
  </si>
  <si>
    <t>ТП-25 г. Николаевск-на-Амуре</t>
  </si>
  <si>
    <t xml:space="preserve">HB032046 </t>
  </si>
  <si>
    <t>ТП-66 г. Николаевск-на-Амуре</t>
  </si>
  <si>
    <t>HB034081</t>
  </si>
  <si>
    <t>ТП-48</t>
  </si>
  <si>
    <t>HB034183</t>
  </si>
  <si>
    <t>ТП-61</t>
  </si>
  <si>
    <t>HB034597</t>
  </si>
  <si>
    <t>Ремонт строительной части</t>
  </si>
  <si>
    <t>HB035149</t>
  </si>
  <si>
    <t>ПС 35кВ КТПН-1</t>
  </si>
  <si>
    <t xml:space="preserve">ремонт обогрева </t>
  </si>
  <si>
    <t>HB034475</t>
  </si>
  <si>
    <t>ремонт освещение</t>
  </si>
  <si>
    <t>Ограждение панелей СН в ОПУ</t>
  </si>
  <si>
    <t>м2.</t>
  </si>
  <si>
    <t xml:space="preserve">Ремонт ограждения ПС 
</t>
  </si>
  <si>
    <t>HB033688</t>
  </si>
  <si>
    <t>ТП-3</t>
  </si>
  <si>
    <t>Покраска дверей, оборудования</t>
  </si>
  <si>
    <t>HB033790</t>
  </si>
  <si>
    <t>ТП-19</t>
  </si>
  <si>
    <t>HB033945</t>
  </si>
  <si>
    <t>ТП-34</t>
  </si>
  <si>
    <t>HB034056</t>
  </si>
  <si>
    <t>ТП-47</t>
  </si>
  <si>
    <t>HB034366</t>
  </si>
  <si>
    <t>ТП-81</t>
  </si>
  <si>
    <t>ТП-92</t>
  </si>
  <si>
    <t>HB034574</t>
  </si>
  <si>
    <t>ЦРП-2</t>
  </si>
  <si>
    <t>Монтаж ограждения МТП</t>
  </si>
  <si>
    <t>HB035080</t>
  </si>
  <si>
    <t>База Амурского РЭС</t>
  </si>
  <si>
    <t>HB035838</t>
  </si>
  <si>
    <t>HB005292</t>
  </si>
  <si>
    <t>ПС 35кВ Приусадебная</t>
  </si>
  <si>
    <t>НВ007764</t>
  </si>
  <si>
    <t>Акт осеннего осмотра п. 2.3.1</t>
  </si>
  <si>
    <t>Аварийное сстояние</t>
  </si>
  <si>
    <t>Здание гаража с пристройками СП СЭС</t>
  </si>
  <si>
    <t>Всего ремонт СП СЭС</t>
  </si>
  <si>
    <t>HB009260</t>
  </si>
  <si>
    <t>ВЛ 10 кВ Ф-1 ПС Сергеевка
L=19980м</t>
  </si>
  <si>
    <t>пр. оп. оп. №172-176</t>
  </si>
  <si>
    <t>HB009820</t>
  </si>
  <si>
    <t>ВЛ 6 кВ Ф-20 ПС ГВФ
L=10676 м</t>
  </si>
  <si>
    <t>пр. оп. оп. №1-8,№13-14,№17-21.</t>
  </si>
  <si>
    <t>ВЛ 16 кВ Ф-36 ПС ГВФ
L=3010 м</t>
  </si>
  <si>
    <t>пр. оп. оп. .№11-19</t>
  </si>
  <si>
    <t>3.1.47.</t>
  </si>
  <si>
    <t xml:space="preserve">Уаз-390995 №Н665СС </t>
  </si>
  <si>
    <t>Замена топливного насоса</t>
  </si>
  <si>
    <t>Замена стартера</t>
  </si>
  <si>
    <t>Ремонт газораспределительного механизма</t>
  </si>
  <si>
    <t xml:space="preserve">БКМ - 317-01  № А967ЕА </t>
  </si>
  <si>
    <t>Ремонт бура</t>
  </si>
  <si>
    <t>Замена насоса</t>
  </si>
  <si>
    <t>Замена диска сцепления</t>
  </si>
  <si>
    <t>Замена турбокомпрессора</t>
  </si>
  <si>
    <t>Замена коленчатого вала</t>
  </si>
  <si>
    <t>ГАЗ 66 №Х637АУ</t>
  </si>
  <si>
    <t>Замена тяги рулевой продольной</t>
  </si>
  <si>
    <t>УАЗ - 390995 №А741СВ</t>
  </si>
  <si>
    <t>Замена двигателя</t>
  </si>
  <si>
    <t>Замена заднего моста</t>
  </si>
  <si>
    <t>НВ032745</t>
  </si>
  <si>
    <t>Прол оп.№155-180, 181-285, 369-431</t>
  </si>
  <si>
    <t>Прол оп.№75-135</t>
  </si>
  <si>
    <t>Прол оп.№1-32, 403-494</t>
  </si>
  <si>
    <t>Оп.  № 1-00/1 – 1-00/28, 1-27/1, 1-27/2, 
1-37/1 – 1-37/3,
1-45/1 – 1-45/3</t>
  </si>
  <si>
    <t>Оп.№ 2-00/131 – 2-00/160</t>
  </si>
  <si>
    <t>Оп. № 5-00/23 – 5-00/42</t>
  </si>
  <si>
    <t>6-00/26 – 6-00/46</t>
  </si>
  <si>
    <t>Оп. № 7,31-00/35 – 7,31-00/64</t>
  </si>
  <si>
    <t>Оп. № 18-01/1 – 18-01/6, 18-19/1,
18-91/2, 18-00/29</t>
  </si>
  <si>
    <t>Оп. № № 
23-00/1 – 23-00/9, 
23-00/43 – 23-00/67</t>
  </si>
  <si>
    <t>Оп. № 29-00/31 – 29-00/60</t>
  </si>
  <si>
    <t>Оп. № 36-00/16 – 36-00/19, 
36-8/1, 
36-02/1 – 36-02/6,
36-02-1/1, 36-02-1/2</t>
  </si>
  <si>
    <t>Оп. №6-00/35 – 6-00/74</t>
  </si>
  <si>
    <t>НВ004241 НВ027312</t>
  </si>
  <si>
    <t>НВ004241 НВ027313</t>
  </si>
  <si>
    <t>HB030395</t>
  </si>
  <si>
    <t>МКП-110 В 110 С-119</t>
  </si>
  <si>
    <t xml:space="preserve">Замена рубильника - 1 шт.,
Замена изоляторов- 3 шт.
Замена  разъединителя выключатель нагрузки -2 шт., </t>
  </si>
  <si>
    <t>ТР 1Т,  замена рубильника-2шт,</t>
  </si>
  <si>
    <t>3.1.48.</t>
  </si>
  <si>
    <t>3.1.49.</t>
  </si>
  <si>
    <t>3.1.50.</t>
  </si>
  <si>
    <t>3.1.51.</t>
  </si>
  <si>
    <t>3.1.52.</t>
  </si>
  <si>
    <t>3.1.53.</t>
  </si>
  <si>
    <t>3.1.54.</t>
  </si>
  <si>
    <t>3.2.1</t>
  </si>
  <si>
    <t>3.2.9.</t>
  </si>
  <si>
    <t>3.2.10.</t>
  </si>
  <si>
    <t>3.2.11.</t>
  </si>
  <si>
    <t>3.2.12.</t>
  </si>
  <si>
    <t>3.2.13.</t>
  </si>
  <si>
    <t>3.2.14.</t>
  </si>
  <si>
    <t>3.2.15.</t>
  </si>
  <si>
    <t>3.2.16.</t>
  </si>
  <si>
    <t>3.2.18.</t>
  </si>
  <si>
    <t>3.2.19.</t>
  </si>
  <si>
    <t>3.2.20.</t>
  </si>
  <si>
    <t>№ 200,201, 203, 204, 205,206, 207, 208, 209, 210,211.</t>
  </si>
  <si>
    <t>№ 309, 369, 446, 505, 556, 697, 698, 703, 723, 733, 734, 761, 832, 923, 942.</t>
  </si>
  <si>
    <t>Текущий  ремонт ТМ</t>
  </si>
  <si>
    <t>Сводная информация ХЭС</t>
  </si>
  <si>
    <t>80-82.</t>
  </si>
  <si>
    <t>зауженная просека</t>
  </si>
  <si>
    <t>пр.оп.№79-80,84-85,110-111,</t>
  </si>
  <si>
    <t>пр.оп.  62-63, 63-64,66-67,71-72,82-83,91-92,92-93 93-94,111-112,112-113,113-114,114-115,                  115-116,116-117, 117-118.</t>
  </si>
  <si>
    <t>пр.оп. № 90-110, 110-120, 121-124</t>
  </si>
  <si>
    <t>пр.оп. опор № 110-124</t>
  </si>
  <si>
    <t>пр.оп. 63-64</t>
  </si>
  <si>
    <t>ВЛ 110 кВ Князе-Волконское-Елабуга (C-50)</t>
  </si>
  <si>
    <t xml:space="preserve">ВЛ 110 кВ Хехцир-Сита (C-24) </t>
  </si>
  <si>
    <t>ВЛ 110 кВ Сита-Обор (C-33)</t>
  </si>
  <si>
    <t>HB009972</t>
  </si>
  <si>
    <t>ВЛ 35кВ Сергеевка- Дубки (Т-25)</t>
  </si>
  <si>
    <t>пр.оп. №№4-6, 22-33, № 1-13,22-33</t>
  </si>
  <si>
    <t>пр.оп. №.1-3,6-13</t>
  </si>
  <si>
    <t>ВЛ  10 кВ Ф-5 ПС Бикин
L=54360 м</t>
  </si>
  <si>
    <t>ВЛ  10 кВ Ф-15 ПС Бикин
L=38870 м</t>
  </si>
  <si>
    <t>ВЛ 0,4 кВ Ф-1 ТП 1470 с.Князе-Волконское</t>
  </si>
  <si>
    <t>по состоянию, Письмо от 08.04.2019г. №08-03-12-35/638</t>
  </si>
  <si>
    <t>,</t>
  </si>
  <si>
    <t>Ремонт разъединителя 6-10 кВ</t>
  </si>
  <si>
    <t>Ремонт блокировок</t>
  </si>
  <si>
    <t>Ремонт трансформатора тока 35 кВ</t>
  </si>
  <si>
    <t xml:space="preserve">Ремонт трансформаторов СН </t>
  </si>
  <si>
    <t>Ремонт трансформатора напряжения 6-10 кВ</t>
  </si>
  <si>
    <t>5.51.</t>
  </si>
  <si>
    <t>5.52.</t>
  </si>
  <si>
    <t>демонтаж разъединителей 110 кВ</t>
  </si>
  <si>
    <t>монтаж разъединителей 110 кВ</t>
  </si>
  <si>
    <t>ремонт блокировок</t>
  </si>
  <si>
    <t>6.45.</t>
  </si>
  <si>
    <t>6.46.</t>
  </si>
  <si>
    <t>6.47.</t>
  </si>
  <si>
    <t>6.48.</t>
  </si>
  <si>
    <t>6.49.</t>
  </si>
  <si>
    <t>6.50.</t>
  </si>
  <si>
    <t>6.51.</t>
  </si>
  <si>
    <t>6.52.</t>
  </si>
  <si>
    <t>6.53.</t>
  </si>
  <si>
    <t>для передачи в ремонт СПС</t>
  </si>
  <si>
    <t xml:space="preserve">HB008607 </t>
  </si>
  <si>
    <t>ГАЗ №В963РХ</t>
  </si>
  <si>
    <t>НВ036983</t>
  </si>
  <si>
    <t>НВ031854</t>
  </si>
  <si>
    <t>9.29.</t>
  </si>
  <si>
    <t>НВ008195</t>
  </si>
  <si>
    <t xml:space="preserve">ремонт напольного покрытия </t>
  </si>
  <si>
    <t>10.1.1.</t>
  </si>
  <si>
    <t>10.1.2.</t>
  </si>
  <si>
    <t>ВРЭС
ГРЭС
ЛРЭС</t>
  </si>
  <si>
    <t>Устройство пожарной сигнализации</t>
  </si>
  <si>
    <t xml:space="preserve">HB009762 </t>
  </si>
  <si>
    <t>пр. от 22.05.2020 №219</t>
  </si>
  <si>
    <t>ПС 110 Березовка</t>
  </si>
  <si>
    <t>ремонт дуговой защиты</t>
  </si>
  <si>
    <t xml:space="preserve">HB010664 </t>
  </si>
  <si>
    <t xml:space="preserve">HB010441 </t>
  </si>
  <si>
    <t xml:space="preserve">HB010178 </t>
  </si>
  <si>
    <t xml:space="preserve">HB010381 </t>
  </si>
  <si>
    <t xml:space="preserve">HB038863     </t>
  </si>
  <si>
    <t>ПС 110 кВ Городская</t>
  </si>
  <si>
    <t xml:space="preserve">HB010340 </t>
  </si>
  <si>
    <t xml:space="preserve">HB010959 </t>
  </si>
  <si>
    <t xml:space="preserve">HB036335 </t>
  </si>
  <si>
    <t>ПС 110 кВ Здоровье</t>
  </si>
  <si>
    <t xml:space="preserve">HB010342 </t>
  </si>
  <si>
    <t xml:space="preserve">HB010184 </t>
  </si>
  <si>
    <t>ПС 110 кВ Котиково</t>
  </si>
  <si>
    <t xml:space="preserve">HB010665 </t>
  </si>
  <si>
    <t xml:space="preserve">HB010365 </t>
  </si>
  <si>
    <t xml:space="preserve">HB008206 </t>
  </si>
  <si>
    <t>ПС 110 кВ Осиновая речка</t>
  </si>
  <si>
    <t>10.2.16.</t>
  </si>
  <si>
    <t xml:space="preserve">HB011162 </t>
  </si>
  <si>
    <t>10.2.17.</t>
  </si>
  <si>
    <t xml:space="preserve">HB011164 </t>
  </si>
  <si>
    <t>10.2.18.</t>
  </si>
  <si>
    <t xml:space="preserve">HB010313 </t>
  </si>
  <si>
    <t>ПС 110 кВ СМР</t>
  </si>
  <si>
    <t>10.2.19.</t>
  </si>
  <si>
    <t xml:space="preserve">HB011001 </t>
  </si>
  <si>
    <t>10.2.20.</t>
  </si>
  <si>
    <t xml:space="preserve">HB033385 </t>
  </si>
  <si>
    <t>ПС 110 кВ ХЭС</t>
  </si>
  <si>
    <t>10.2.21.</t>
  </si>
  <si>
    <t xml:space="preserve">HB010394 </t>
  </si>
  <si>
    <t>10.2.22.</t>
  </si>
  <si>
    <t xml:space="preserve">HB010347 </t>
  </si>
  <si>
    <t>согласно графика</t>
  </si>
  <si>
    <t>ремонт АПВ</t>
  </si>
  <si>
    <t>10.2.23.</t>
  </si>
  <si>
    <t xml:space="preserve">HB009712 </t>
  </si>
  <si>
    <t>ПС 35 кВ Благодатное</t>
  </si>
  <si>
    <t>10.2.24.</t>
  </si>
  <si>
    <t xml:space="preserve">HB008199 </t>
  </si>
  <si>
    <t>10.2.25.</t>
  </si>
  <si>
    <t xml:space="preserve">HB011169 </t>
  </si>
  <si>
    <t>10.2.26.</t>
  </si>
  <si>
    <t>10.2.27.</t>
  </si>
  <si>
    <t>10.2.28.</t>
  </si>
  <si>
    <t>10.2.29.</t>
  </si>
  <si>
    <t xml:space="preserve">HB009330 </t>
  </si>
  <si>
    <t>10.2.30.</t>
  </si>
  <si>
    <t xml:space="preserve">HB008207 </t>
  </si>
  <si>
    <t>10.2.31.</t>
  </si>
  <si>
    <t xml:space="preserve">HB009348 </t>
  </si>
  <si>
    <t>ПС 35 кВ Тополево</t>
  </si>
  <si>
    <t>10.2.32.</t>
  </si>
  <si>
    <t xml:space="preserve">HB008479 </t>
  </si>
  <si>
    <t>10.2.33.</t>
  </si>
  <si>
    <t>Ук. от 30.08.2019г№166</t>
  </si>
  <si>
    <t>ремонт ЗВУ</t>
  </si>
  <si>
    <t>10.2.34.</t>
  </si>
  <si>
    <t>10.2.35.</t>
  </si>
  <si>
    <t>10.2.36.</t>
  </si>
  <si>
    <t xml:space="preserve">HB010829 </t>
  </si>
  <si>
    <t>10.2.37.</t>
  </si>
  <si>
    <t xml:space="preserve">HB010828 </t>
  </si>
  <si>
    <t>10.2.38.</t>
  </si>
  <si>
    <t xml:space="preserve">HB010301 </t>
  </si>
  <si>
    <t>10.2.39.</t>
  </si>
  <si>
    <t>циркуляр от 05.07.2019г</t>
  </si>
  <si>
    <t>ремонт УРЗА</t>
  </si>
  <si>
    <t>10.2.40.</t>
  </si>
  <si>
    <t xml:space="preserve">HB031849 </t>
  </si>
  <si>
    <t>10.2.41.</t>
  </si>
  <si>
    <t>10.2.42.</t>
  </si>
  <si>
    <t xml:space="preserve">HB010281 </t>
  </si>
  <si>
    <t>10.2.43.</t>
  </si>
  <si>
    <t xml:space="preserve">HB010397 </t>
  </si>
  <si>
    <t>ПС 35 кВ Ханкайская</t>
  </si>
  <si>
    <t>10.2.44.</t>
  </si>
  <si>
    <t xml:space="preserve">КППН п.1.1
Ук ДРСК № 75 от 02.10.2019г -Программа мероприятий  по повышению надежности электроснабжения предприятий Николаевского энергорайона на 2019-2021гг.
</t>
  </si>
  <si>
    <t>КППН п.1.1;
мероприятия по приказу АО «ДРСК» от 29.11.2019 № 412 «О выполнении требований приказа ПАО «РусГидро» от 19.11.2019 № 948 «О результатах расследования причин массовых отключений объектов электросетевого хозяйства АО «ДРСК»»</t>
  </si>
  <si>
    <t>НВ007689</t>
  </si>
  <si>
    <t xml:space="preserve">HB003567 </t>
  </si>
  <si>
    <t>2.34.</t>
  </si>
  <si>
    <t>HB003569</t>
  </si>
  <si>
    <t>ВЛ 35 кВ Ванино-Тишкино (Т9Ф)</t>
  </si>
  <si>
    <t>Прол. Оп.№ 2-5, 7-10</t>
  </si>
  <si>
    <t>2.35.</t>
  </si>
  <si>
    <t>HB007114</t>
  </si>
  <si>
    <t>ВЛ 35 кВ  Шахта-Чегдомын (Т-315)</t>
  </si>
  <si>
    <t>Прол. Оп.№ 8-13</t>
  </si>
  <si>
    <t>Оп. №9-8/3-9-8/17; 9-00/18; 9-22/14, 9-22/15, 9-22/16</t>
  </si>
  <si>
    <t>Оп. № 9-8/3-9-8/12; №9-00/17/1, 9-00/18; 9-22/14-9-22/18</t>
  </si>
  <si>
    <t xml:space="preserve">Акт № 262 от 23.05.19, 
Письмо ДРСК от 20.01.2020 №64 "О принятии в работу нормативного объема работ по чистке просек"
</t>
  </si>
  <si>
    <t xml:space="preserve">HB034951 </t>
  </si>
  <si>
    <t xml:space="preserve">HB034928 </t>
  </si>
  <si>
    <t xml:space="preserve">HB035061 </t>
  </si>
  <si>
    <t>Письмо ДРСК от 20.01.2020 №64;
АРТН;
мероприятия по приказуАО «ДРСК» от 29.11.2019 № 412 «О выполнении требований приказа ПАО «РусГидро» от 19.11.2019 № 948 «О результатах расследования причин массовых отключений объектов электросетевого хозяйства АО «ДРСК»»</t>
  </si>
  <si>
    <t>HB005698</t>
  </si>
  <si>
    <t>HB005663</t>
  </si>
  <si>
    <t>HB005654</t>
  </si>
  <si>
    <t>HB005846</t>
  </si>
  <si>
    <t>HB032010</t>
  </si>
  <si>
    <t>HB031934</t>
  </si>
  <si>
    <t>HB031935</t>
  </si>
  <si>
    <t>HB036594</t>
  </si>
  <si>
    <t>HB031931</t>
  </si>
  <si>
    <t>HB031933</t>
  </si>
  <si>
    <t>HB031932</t>
  </si>
  <si>
    <t>Устройство лотка  для  кабелей 0,04км. Демонтаж кабеля 0,12км.  Монтаж кабеля 0,15км.  Монтаж муфт 6шт.</t>
  </si>
  <si>
    <t>3.2.21.</t>
  </si>
  <si>
    <t>НВ031955</t>
  </si>
  <si>
    <t>ВЛ 0,4кВ Ф-1,3 КТП-26 г.Николаевск на Амуре</t>
  </si>
  <si>
    <t>Оп. №№ 1,2-00/5-7,1-01/1-5,1-01-1/1-3,1-02-1/1-3,1-03/1-6,1-03-1/1-4,2-01/1,2-02/1,2-03/1-5,2-03-1/1,2-00/8-12,2-00-13/1,2-04/1,2-05/1-6,2-05-1/1,2-05-1/2,2-06/1-5,3-00/2-14,3-00-1/1,3-00-2/1-3,3-01/1-5,3-01-1/1-2,3-01-2/1,3-02/1-6,3-02-1/1.</t>
  </si>
  <si>
    <t>Оп. №№ 1,3-00/1,1-00/2-11,1-01/1-4,1-01-1/1,1-01-2/1,1-00-1/1,1-00-2/1,1-02/1-5,1-02-1/1,1-00-3/1,1-03/1-5,1-03-1/1,1-04/1-5,1-05/1-4,1-06/1-4,1-07/1-6; 3-00/2-13,3-01/1-5,3-01-1/1,3-00-2/1,3-00-3/1,3-02/1-10,3-03/1,3-03/2.</t>
  </si>
  <si>
    <t>Оп. №№ 1,2-00/1-7,1,2-00/4 - 1-02/6, 1-01/1-5,1-01-1/1-3,1-02-1/1-3,1-03/1-6,1-03-1/1-4,2-01/1,2-02/1,2-03/1-5,2-03-1/1,2-00/8-12,2-00-13/1,2-04/1,2-05/1-6,2-05-1/1,2-05-1/2,2-06/1-5,3-00/2-14,3-00-1/1,3-00-2/1-3,3-01/1-5,3-01-1/1-2,3-01-2/1,3-02/1-6,3-02-1/1.</t>
  </si>
  <si>
    <t>НВ031959</t>
  </si>
  <si>
    <t>ВЛ 0,4кВ Ф-1,2 КТП-29 г.Николаевск на Амуре</t>
  </si>
  <si>
    <t xml:space="preserve">Оп.№№ 2-00/2,2-01/2,2-00/7,2-00/10,2-00/12.  </t>
  </si>
  <si>
    <t>Установка подкосов</t>
  </si>
  <si>
    <t>Оп.№1,2-00/1 - 1-00/11, 2-00/7- 2-04/7, 1-00/6 - 1-01/5, 1-00/9 -1-02/7, 2-00/12 -2-06/5, 1-00/9 -1-03/3, 1-00/7- 1-00-2/1, 1-01/5 -1-01/6,1-02/7 - 1-02/9,1-02/4 - 1-02-1/3,1-03/2 - 1-03-2/1; 2-00/5 - 2-00-1/1, 2-00/6-2-00-2/1,2-04/1 -2-04-1/1,2-04/4 - 2-04-4/1,2-04/5 - 2-04-5/2,2-04/7 - 2-04-7/1,2-06/1 - 2-06-1/1,2-06/4 - 2-06-4/1,2-00/12 - 2-07/2.</t>
  </si>
  <si>
    <t>Монтаж двух кабелей ААШВ-1 4х95</t>
  </si>
  <si>
    <t>КВТп 4х95-2шт, КНТп 4х95-2шт</t>
  </si>
  <si>
    <t xml:space="preserve">Оп. №№ 2-00/1-12,2-00-2/1,2-00-5/1,2-00-6/1,2-00-9/1,2-00-11/1,2-01/1-8,2-02/1-9,2-02-1/1,2-02-2/1-3,2-02-8/1,2-00-1/1; 3-00/1-9,3-00-6/1,3-00-8/1,3-01/1-3,3-01/5-13,3-01-10/1,3-01-11/1-3,3-02/1,3-02/3,4, 3-02-3/1  </t>
  </si>
  <si>
    <t>Оп. №№ 2-00/1- 2-00/12, 2-00/5- 2-00-5/1, 2-00/6- 2-00-6/1,2-00/9 - 2-00-9/1,2-02/3 - 2-02-1/1,9-22/19 - 2-00-1/1,2-00/1 - 9-22/14, 2-00/2 - 2-00-2/1,2-00/11 - 2-00-11/1,2-02/8 - 2-02-8/1,2-02/8 - 2-02/9,2-02/3 - 2-02-2/3, 3-00/1 - 3-00/11, 2-00/1 - 2-01/8,  2-00/5 - 2-02/8, 3-00/4 - 3-01/12, 3-01/4 - 3-01-1/4, 3-00/4 - 3-02/4, 3-00/6- 3-00-6/1, 3-00/8 - 3-00-8/1, 3-01/10-3-01-10/1,3-01/11 - 3-01-11/3,3-01-11/1 - 3-01-11/2,3-01/12 - 3-01/13,3-02/3 - 3-02-3/1.</t>
  </si>
  <si>
    <t>Оп. №№ 8-00/1-27,8-01/1-2,8-02/1-6,8-03/1-2,8-04/1-3,8-00-1/1.</t>
  </si>
  <si>
    <t>Оп. №№ 8-00/ 1 - 8-00/27, 8-00/10- № 8-02/6, 8-00/11 - 8-04/3, 8-00/6- 8-01/2, 8-00/11 - 8-03/2, 8-00/20 - 8-00-1/1</t>
  </si>
  <si>
    <t>ААШВ-1 4х95</t>
  </si>
  <si>
    <t>КВТп 4х95 - 1шт, КНТп 4х95-1шт.</t>
  </si>
  <si>
    <t>ВЛ 0,4 кВ от ТП-14 г.Николаевск на Амуре</t>
  </si>
  <si>
    <t>Оп. №№ 5-01/4-8,5-01-1/1-7</t>
  </si>
  <si>
    <t>Оп. №№ 5-01/3,  5-01/9-12</t>
  </si>
  <si>
    <t>оп.№5-01/8 -5-01-1/7.</t>
  </si>
  <si>
    <t>Оп.№№ 1-00/1-2; 1-00/12-27, 1-01/1-11; 1-01-1/1-3; 1-02/1-9;  1-02-1/1; 1-03/1-5</t>
  </si>
  <si>
    <t>№ 1-00/1 - 1-00/27; 1-00/17 - 1-02/9; 1-00/21 - 1-03/5; 1-00/12 - 1-01/11; 1-01/9 - 1-01-1/3</t>
  </si>
  <si>
    <t>Оп.№№ 1 - 18; 3/1-3/8, 3/2/1; 3/6/1.</t>
  </si>
  <si>
    <t>Оп.№1; 9; 18; 3/8.</t>
  </si>
  <si>
    <t xml:space="preserve">Оп.№№ 1 - 18; 4-3/8 </t>
  </si>
  <si>
    <t>ВЛ 0,4 кВ Ф-2 КТП-10 с.Главный стан</t>
  </si>
  <si>
    <t>4 кВ.</t>
  </si>
  <si>
    <t>4.23.</t>
  </si>
  <si>
    <t>ВЛ 0,4 кВ Ф-2 КТП-1 п.В.Чегдомын</t>
  </si>
  <si>
    <t>№10,11,12,13,14,15,16,17,13/1</t>
  </si>
  <si>
    <t>№ (10-17)</t>
  </si>
  <si>
    <t>4.24.</t>
  </si>
  <si>
    <t>HB007096</t>
  </si>
  <si>
    <t xml:space="preserve">ВЛ 0,4 кВ Ф-3 КТП-22 п.Н.Чегдомын </t>
  </si>
  <si>
    <t>№5,6/1, 7/1, 3,5/1,6,7</t>
  </si>
  <si>
    <t>№ (1-7/1)</t>
  </si>
  <si>
    <t>4.25.</t>
  </si>
  <si>
    <t xml:space="preserve">ВЛ 0,4 кВ Ф-1 ТП-25 п.В.Чегдомын </t>
  </si>
  <si>
    <t>№7/4/1а, 7/5/1, 7/2/1, 7/2/2, 7/2/3</t>
  </si>
  <si>
    <t>№ (7-7/6, №7/2-7/2/3)</t>
  </si>
  <si>
    <t>4.26.</t>
  </si>
  <si>
    <t xml:space="preserve">ВЛ 0,4 кВ Ф-1 КТП-58 п.Н.Чегдомын </t>
  </si>
  <si>
    <t>№6/3,6/4,6/5, 6/6, 6/4/1, 6/5/1, 1/2, 1/3,1/4,1/5,1/6,1/7,1/8</t>
  </si>
  <si>
    <t>№ (6/2-6/6)</t>
  </si>
  <si>
    <t>4.27.</t>
  </si>
  <si>
    <t xml:space="preserve">ВЛ 0,4 кВ Ф-2 КТП-58 п.Н.Чегдомын </t>
  </si>
  <si>
    <t xml:space="preserve">№ (6/2-6/6) </t>
  </si>
  <si>
    <t>№ (1-10)</t>
  </si>
  <si>
    <t>4.28.</t>
  </si>
  <si>
    <t xml:space="preserve">ВЛ 0,4 кВ Ф-1 КТП-51 п.Н.Чегдомын </t>
  </si>
  <si>
    <t>№15,17,18,18/1,18/2,19,20,22,23,24</t>
  </si>
  <si>
    <t xml:space="preserve">№ (15-25) </t>
  </si>
  <si>
    <t>4.29.</t>
  </si>
  <si>
    <t xml:space="preserve">ВЛ 0,4 кВ Ф-2 КТП-57 п.Н.Чегдомын </t>
  </si>
  <si>
    <t>№ (1-5)</t>
  </si>
  <si>
    <t>4.30.</t>
  </si>
  <si>
    <t>HB006921</t>
  </si>
  <si>
    <t>ВЛ 0,4 кВ Ф-1 от КТПН-720 с. Ачан</t>
  </si>
  <si>
    <t>Демонтаж провода</t>
  </si>
  <si>
    <t>4.31.</t>
  </si>
  <si>
    <t>ВЛ 0,4 кВ Ф-2 от КТПН-721 с. Ачан</t>
  </si>
  <si>
    <t>4.32.</t>
  </si>
  <si>
    <t>ВЛ 0,4 кВ Ф-1 от КТПН-722 с. Ачан</t>
  </si>
  <si>
    <t>4.33.</t>
  </si>
  <si>
    <t>ВЛ 0,4 кВ Ф-2 от КТПН-722 с. Ачан</t>
  </si>
  <si>
    <t xml:space="preserve">HB003602 </t>
  </si>
  <si>
    <t>ТМН-6300/35 2Т</t>
  </si>
  <si>
    <t>НВ004784 НВ004782</t>
  </si>
  <si>
    <t xml:space="preserve">ВТ-35, С-35  В 35 1Т, В 35 2Т </t>
  </si>
  <si>
    <t>НВ007375 НВ030129 HB030130
HB030120 HB007376
HB030123</t>
  </si>
  <si>
    <t xml:space="preserve"> НТМИ-6 ТН 6 2с</t>
  </si>
  <si>
    <t>РВ-6 ЛР 6 яч 3, ШР 6 яч 3, ТР 6 яч 13, ШР 6 2Т яч 13, ЛР 6 яч 15, ШР 6 яч 15, ШР 6 ТН 2с</t>
  </si>
  <si>
    <t>№ 638 от 08.04.2019</t>
  </si>
  <si>
    <t>НАМИ 10: ТН 6 яч.1, ТН 6 яч.6</t>
  </si>
  <si>
    <t>320/6 на б/у  250/6</t>
  </si>
  <si>
    <t>Переустройство КТПН</t>
  </si>
  <si>
    <t>Отсыпка КТПН</t>
  </si>
  <si>
    <t xml:space="preserve"> № 638 от 08.04.2019</t>
  </si>
  <si>
    <t>HB035269
HB035304
HB035579
HB035418</t>
  </si>
  <si>
    <t>HB035208 HB035562
HB035736</t>
  </si>
  <si>
    <t>HB035327 HB035493
HB035492</t>
  </si>
  <si>
    <t>HB035314
HB035539 HB035713
HB035542</t>
  </si>
  <si>
    <t>HB035380
HB035381 HB035378
HB035701
HB035379
HB035700</t>
  </si>
  <si>
    <t>HB035287 HB035287</t>
  </si>
  <si>
    <t xml:space="preserve">Коробка отбора мощности </t>
  </si>
  <si>
    <t xml:space="preserve">Цепь кабельная буксируемая </t>
  </si>
  <si>
    <t>Диск колеса передний</t>
  </si>
  <si>
    <t>Диск колеса задний</t>
  </si>
  <si>
    <t xml:space="preserve">Бур лопастной </t>
  </si>
  <si>
    <t>Резец</t>
  </si>
  <si>
    <t>Забурник 300 А</t>
  </si>
  <si>
    <t>Бур лопастной</t>
  </si>
  <si>
    <t>Гусеница</t>
  </si>
  <si>
    <t>компл</t>
  </si>
  <si>
    <t xml:space="preserve">Редукор передний </t>
  </si>
  <si>
    <t>Рессора</t>
  </si>
  <si>
    <t>реле поворотное</t>
  </si>
  <si>
    <t>Бур</t>
  </si>
  <si>
    <t>Генератор</t>
  </si>
  <si>
    <t xml:space="preserve"> вал карданный</t>
  </si>
  <si>
    <t>коробка раздаточная</t>
  </si>
  <si>
    <t>насос гидроусилителя</t>
  </si>
  <si>
    <t>Радиатор</t>
  </si>
  <si>
    <t>штанга</t>
  </si>
  <si>
    <t xml:space="preserve">каток поддерживающий </t>
  </si>
  <si>
    <t>подогреватель предпусковой</t>
  </si>
  <si>
    <t>турбокомпрессор</t>
  </si>
  <si>
    <t>вал карданный - 1шт</t>
  </si>
  <si>
    <t>распределитель зажигания - 1шт</t>
  </si>
  <si>
    <t>подшипник ступичный - 4шт</t>
  </si>
  <si>
    <t>рычаг регулировочный</t>
  </si>
  <si>
    <t>энергоаккумулятор</t>
  </si>
  <si>
    <t>Турбокомпрессор</t>
  </si>
  <si>
    <t>Подшипник ступицы</t>
  </si>
  <si>
    <t>Шнек телескопический</t>
  </si>
  <si>
    <t>Вахтовый салон НЕФАЗ</t>
  </si>
  <si>
    <t>Стартер</t>
  </si>
  <si>
    <t>Коробка раздаточная</t>
  </si>
  <si>
    <t>Генератор 90А УАЗ</t>
  </si>
  <si>
    <t>Стартер УАЗ</t>
  </si>
  <si>
    <t>Амортизатор УАЗ</t>
  </si>
  <si>
    <t>Лист рессоры</t>
  </si>
  <si>
    <t>Гидроцилиндр прижима салазок-</t>
  </si>
  <si>
    <t>Гидроцилиндр ЦГ-11.16.80.56.700.1100</t>
  </si>
  <si>
    <t>Гидроцилиндр управление аутригерами</t>
  </si>
  <si>
    <t>Гидроцилиндр МТЗ подъема отвала</t>
  </si>
  <si>
    <t>Двигатель</t>
  </si>
  <si>
    <t>коробка пеередач</t>
  </si>
  <si>
    <t>редуктор</t>
  </si>
  <si>
    <t>усилител</t>
  </si>
  <si>
    <t>вал карданный</t>
  </si>
  <si>
    <t>рессора</t>
  </si>
  <si>
    <t xml:space="preserve">HB030700 </t>
  </si>
  <si>
    <t>АИИС КУЭ Комсомольского РЭС</t>
  </si>
  <si>
    <t>Счетчик электрической энергии однофазный РиМ 189.12.ВК3</t>
  </si>
  <si>
    <t>Счетчик электрической энергии 3-х фазный РиМ 489.02.ВК3</t>
  </si>
  <si>
    <t>НВ030270 НВ030262 НВ030261</t>
  </si>
  <si>
    <t>яч 7, 20, 22</t>
  </si>
  <si>
    <t xml:space="preserve">Восстановление АПВ </t>
  </si>
  <si>
    <t>НВ035859</t>
  </si>
  <si>
    <t>ПС 35 кВ ЭТЗ</t>
  </si>
  <si>
    <t>яч 24</t>
  </si>
  <si>
    <t>HB028379 HB028382 HB028384 HB028387</t>
  </si>
  <si>
    <t>яч 7, 10, 12, 15</t>
  </si>
  <si>
    <t>НВ007251</t>
  </si>
  <si>
    <t xml:space="preserve"> яч 20 </t>
  </si>
  <si>
    <t xml:space="preserve"> НВ027868 НВ027871 НВ027876</t>
  </si>
  <si>
    <t>яч 10, 13, 18</t>
  </si>
  <si>
    <t>яч 6, 7, 11, 12, 15, 16, 19, 33, 34</t>
  </si>
  <si>
    <t>НВ004073</t>
  </si>
  <si>
    <t>30.11..2021</t>
  </si>
  <si>
    <t xml:space="preserve">Оснащение дуговых защит схемами контроля по току и контроля по напряжению 3U0 </t>
  </si>
  <si>
    <t>HB036985</t>
  </si>
  <si>
    <t>ПС 110 кВ Береговая</t>
  </si>
  <si>
    <t>HB006831</t>
  </si>
  <si>
    <t>НВ004871 НВ004872</t>
  </si>
  <si>
    <t>НВ028542 НВ028550</t>
  </si>
  <si>
    <t>НВ031082</t>
  </si>
  <si>
    <t>НВ027946 НВ027947 НВ027964 НВ027965</t>
  </si>
  <si>
    <t>НВ028082 НВ028091</t>
  </si>
  <si>
    <t>НВ004414</t>
  </si>
  <si>
    <t>НВ027774 НВ027779</t>
  </si>
  <si>
    <t>НВ028127 НВ028128</t>
  </si>
  <si>
    <t>НВ028173 НВ028182</t>
  </si>
  <si>
    <t>HB031085</t>
  </si>
  <si>
    <t xml:space="preserve">ЭРЭС </t>
  </si>
  <si>
    <t>ПС 110 кВ Падали</t>
  </si>
  <si>
    <t>НВ032359</t>
  </si>
  <si>
    <t>ПС 110 кВ Белая Гора</t>
  </si>
  <si>
    <t>НВ036525</t>
  </si>
  <si>
    <t>ПС 110 кВ Многовершинная</t>
  </si>
  <si>
    <t>Всего ремонт СП ЦЭС</t>
  </si>
  <si>
    <t>Системы безопасности</t>
  </si>
  <si>
    <t>9.30.</t>
  </si>
  <si>
    <t>Сводная информация СЭС</t>
  </si>
  <si>
    <t>Годовая программа ремонтов основных фондов филиала АО ДРСК -Хабаровские ЭС на 2021 год</t>
  </si>
  <si>
    <t>HB010238</t>
  </si>
  <si>
    <t>ВЛ 110 кВ Южная-ЮМР с отпайками №1,2 (C-11;C-12)</t>
  </si>
  <si>
    <t>ВЛ 110 кВ Южная – Хехцир №1,2 (С-13;С-14)</t>
  </si>
  <si>
    <t>ВЛ 110 кВ Хабаровская ТЭЦ-1-Горький №1/№2 (C-3;С-4)</t>
  </si>
  <si>
    <t>ВЛ 110 кВ ТЭЦ-1 - РЦ с отпайками №1,2 (C-7;С-8)</t>
  </si>
  <si>
    <t>HB010019 
НВ009928</t>
  </si>
  <si>
    <t>пр.оп.№8-11,17-19-20-23,24-34,35-48,61-64,75-76,82-86,94-95,98-101,118-119,119-120,121-122 (3287деревьев)</t>
  </si>
  <si>
    <t>HB033377</t>
  </si>
  <si>
    <t>ВЛ 35 кВ ХТЭЦ1-БН (Т-3; Т-4)</t>
  </si>
  <si>
    <t>№ 4-5, 6-8, 10-15, 17-21, 22-24, 36-38, 45-59, 59-портал (941 шт деревьев)</t>
  </si>
  <si>
    <t>№ 27-29, 30-33, 34-36</t>
  </si>
  <si>
    <t>НВ010000</t>
  </si>
  <si>
    <t>ВЛ 35 кВ Бройлерная - Дружба (Т-49)</t>
  </si>
  <si>
    <t>№ 12-16, 18-47, 48-53, 59-62</t>
  </si>
  <si>
    <t>№ 12, 14, 20, 50, 51, 61, 38, 49, 52, 62</t>
  </si>
  <si>
    <t>№   12-16, 19-26, 27-32</t>
  </si>
  <si>
    <t>HB010160</t>
  </si>
  <si>
    <t>HB010195</t>
  </si>
  <si>
    <t>оп.№45,46,48</t>
  </si>
  <si>
    <t>ВЛ 10 кВ Ф-8 ПС Корфовская</t>
  </si>
  <si>
    <t>ВЛ 10 кВ Ф-22 ПС Корфовская</t>
  </si>
  <si>
    <t>НВ008448</t>
  </si>
  <si>
    <t>31.11.2021</t>
  </si>
  <si>
    <t>HB009558</t>
  </si>
  <si>
    <t>HB011047</t>
  </si>
  <si>
    <t>ВЛ 10 кВ Ф-6 Черняево</t>
  </si>
  <si>
    <t>НВ009935</t>
  </si>
  <si>
    <t>ВЛ 10 Ф-3 ПС Тальник</t>
  </si>
  <si>
    <t>оп.№114</t>
  </si>
  <si>
    <t>Ремонт трансформаторов 110 кВ (1Т)-1 шт. Ремонт ОПН, разрядников 110 кВ  (ОПН-110 1Т)-3 шт. Ремонт ОПН, разрядников 35 кВ (ОПН-0 1Т)-1 шт.</t>
  </si>
  <si>
    <t>Яч. 47 А, С</t>
  </si>
  <si>
    <t>ШР-10,ЛР-10 яч.1,7,8,9</t>
  </si>
  <si>
    <t>31.07.2021</t>
  </si>
  <si>
    <t xml:space="preserve"> Яч. 1 А, С </t>
  </si>
  <si>
    <t>HB008201</t>
  </si>
  <si>
    <t>ПС 35 кВ Ракитное</t>
  </si>
  <si>
    <t>Яч.  12 А,С, 5 А,С.</t>
  </si>
  <si>
    <t>Яч.  1 А,С</t>
  </si>
  <si>
    <t xml:space="preserve">1Т ТМН-6300/35/ 10 </t>
  </si>
  <si>
    <t xml:space="preserve">HB009233 </t>
  </si>
  <si>
    <t>Замена трансформаторов тока 6-10 кВ (Яч. 2 А, С, Яч. 4 А, С)</t>
  </si>
  <si>
    <t xml:space="preserve">Неисправность счетчиков РиМ 489.18 ВК2
(сгорел) </t>
  </si>
  <si>
    <t>Неисправность ПУ (нет прироста показаний, сбой тарификации, отсутствие индикации ЖКИ, сгорел), отсутствие опроса счетчиков Энергомера</t>
  </si>
  <si>
    <t>Прочие затраты ПСП</t>
  </si>
  <si>
    <t>АХО</t>
  </si>
  <si>
    <t xml:space="preserve"> НВ008851
НВ008850
НВ008086</t>
  </si>
  <si>
    <t>Здание автогаража на 20 автомобилей (бокс №2), Здание моторного цеха, Механические мастерские (складское помещение СМиТ), Техническое помещение АХО (на территории склада ОМТО)</t>
  </si>
  <si>
    <t>Обработка огнезащитным составом металлических поверхностей</t>
  </si>
  <si>
    <t xml:space="preserve">НВ008406
HB033385
HB032822
HB033403
HB036335
</t>
  </si>
  <si>
    <t>ЛРЭС АБК, гараж (дисп.) КПП , ВРЭС АБК, гараж (дисп.) КПП, ПС ХЭС, ПС Парк Гайдара, ПС Индустриальная, ПС Здоровье</t>
  </si>
  <si>
    <t>Благоустройство территории</t>
  </si>
  <si>
    <t>Сводная информация</t>
  </si>
  <si>
    <t>Прол. Оп.№ 1-6,9-13,20-21,22-27,28-36</t>
  </si>
  <si>
    <t>Оп. № №9-8/3-12,  9-22/12 -18, 9-00-17/1, 9-00/18, 9-00/16, 17, 19-33</t>
  </si>
  <si>
    <t xml:space="preserve">Оп. №№ 1-00/3, 4, 2-00-1/1,2-00-2/1,2-04/1-6,2-04-1/1,2-04-4/1,2-04-5/1-2,2-04-7/1,2-05/1,2-05/2,2-06/1-5,2-06-1/1,2-06-4/1,2-07/1-2. </t>
  </si>
  <si>
    <t xml:space="preserve"> восстановление надписей-50букв</t>
  </si>
  <si>
    <t>НВ007204</t>
  </si>
  <si>
    <t xml:space="preserve">ПС 35/6 ЛПБ         </t>
  </si>
  <si>
    <t>ремонт полов</t>
  </si>
  <si>
    <t>ремонт отмостки</t>
  </si>
  <si>
    <t>ремонт фундаментов</t>
  </si>
  <si>
    <t>ВЛ 35 кВ Объект-10 - Объект-202 (Т-176)</t>
  </si>
  <si>
    <t>ВЛ 35 кВ Северная - Объект-202  (Т-177)</t>
  </si>
  <si>
    <t>ВЛ 35 кВ Хурба - с/з Комсомольский (Т-183)</t>
  </si>
  <si>
    <t>ВЛ 35 кВ Эльбан - Дальняя (Т-190)</t>
  </si>
  <si>
    <t>ВЛ 35 кВ Приусадебная - Тейсин (Т-191)</t>
  </si>
  <si>
    <t>ВЛ 35 кВ Приусадебная - Менгон (Т-240)</t>
  </si>
  <si>
    <t>Кабинет №9 ЛРЭС</t>
  </si>
  <si>
    <t>Кабинет №18 ЛРЭС</t>
  </si>
  <si>
    <t>Раздевалка №20 ЛРЭС</t>
  </si>
  <si>
    <t>Раздевалка  №13 ЛРЭС</t>
  </si>
  <si>
    <t>Здание ПС Некрасовка (кабинет)</t>
  </si>
  <si>
    <t>1-5; 10-11; 12-14; 15-16; 20-24; 25-26; 27-32;       33-34;   36-41; 42-47; 49-56;    57-65;    67-70; 71-78;     79-82;  83-85; 86-87; 89-90; 97-99;    106-107; 108-109; 111-115;   117-121; 122-129; 132-133 4170 шт  деревьев</t>
  </si>
  <si>
    <t>оп. № 49-52, 53-58, 59-60, 61-64, 65-67, 73-79, 81-87, 88-92, 93-97, 99-101, 110-112, 113-117, 118-120, 121-141, 142-144, 145-147, 156-158, 163-169, 170-176</t>
  </si>
  <si>
    <t>№1-5; 10-11; 12-14; 15-16; 20-24; 25-26; 27-32;       33-34;   36-41; 42-47; 49-56;    57-65;    67-70; 71-78;     79-82;  83-85; 86-87; 89-90; 97-99;    106-107; 108-109; 111-115;   117-121; 122-129; 132-133 2860 шт  деревьев</t>
  </si>
  <si>
    <t>оп. № 1-16, 18-54, 55-65, 67-78, 79-82, 83-85, 89-91, 97-98, 106-107, 108-109, 110-112, 113-116, 117-121, 124-128</t>
  </si>
  <si>
    <t>НВ011050</t>
  </si>
  <si>
    <t>ВЛ 10кВ Ф-11 ПС Святогорье</t>
  </si>
  <si>
    <t>пр. оп. 1-117</t>
  </si>
  <si>
    <t>Валка деревьев</t>
  </si>
  <si>
    <t>HB009549</t>
  </si>
  <si>
    <t>ВЛ 10 кВ Ф-15 ПC ОПХ</t>
  </si>
  <si>
    <t>HB009678</t>
  </si>
  <si>
    <t>ВЛ 10 кВ Ф-15 ПC Сергеевка</t>
  </si>
  <si>
    <t>Доставка МТР на Николаевский РЭС</t>
  </si>
  <si>
    <t>№154 (грозотрос)
(С-5) пр.оп. №22-23, 118-119 
(С-6) пр.оп.№ 107-108, 127-128</t>
  </si>
  <si>
    <t>пр.оп. №2-10, 10-18, 25-47, 51-119, 121- 129</t>
  </si>
  <si>
    <t>пр.оп.№4-7,8-11,17-23,24-25,25-26,26-34,34-35,35-43,43-49,57-58,59-66,71-76,82-86,94-95,98-99,99-100,100-101,118-119,119-122</t>
  </si>
  <si>
    <t>пр.оп.№1-4,7-10,10-13,14-17, 23-30, 31-33, 36-38, 53-54, 54-5, 58-60, 61-68, 83-90, 91-93, 93-94,95-100,101-102</t>
  </si>
  <si>
    <t>демонтаж разъединителей 9шт, монтаж разъединителей 7шт</t>
  </si>
  <si>
    <t>С-97: Оп.№ 7,8,16,18,27,46,57,78,86,88,92;                                           С-98: отп.на Байк. № 3,6,8;                                                                    С-102: Оп.№ 23,50,66,67,78,отп. на КСК: № 78/4, 78/11</t>
  </si>
  <si>
    <t>Прол оп.№268-274, 300-306, 368-376, 386-399, 430-432, 505-512, 616-679, 759-761, 762-764, 804-822, 832-876, 936-937, 963-974, 975-984, 976-984</t>
  </si>
  <si>
    <t>Прол оп. ПС-№1-42</t>
  </si>
  <si>
    <t>обвалка опор</t>
  </si>
  <si>
    <t>оп.№11, 12, 45, 65, 67, 102, 103, 107, 109, 110-113, 139, 154, 171, 178, 179, 180, 188, 196, 207, 215, 216, 218, 221, 237, 240, 260</t>
  </si>
  <si>
    <t xml:space="preserve">оп.№1, 2, 15-19, 28,30,55,58, 60, 73, 85, 88-90, 105, 142-148, 151-153, 155, 156, 173,185, 202,203, 205,228, 231,235,255 </t>
  </si>
  <si>
    <t xml:space="preserve">оп.№ 2, 15-19, 28, 55,58,60, 73, 85, 88-90, 105, 142-148, 151-153, 155, 156,173, 185, 202,203, 205, 228,231,235,255 </t>
  </si>
  <si>
    <t>оп. № 1,2, 4, 11, 12, 15-19, 28, 45,58, 60, 65, 67, 73, 85, 88-90, 102, 103, 105, 107, 109-113, 139, 142-148, 151-156, 171, 178-180, 185, 188, 196, 202, 205, 207, 215, 216, 218, 221,228, 231, 237, 240, 260</t>
  </si>
  <si>
    <t>оп.№40, 53, 74, 77 ,15, 23, 27, 30, 32, 50, 79,6,8,33</t>
  </si>
  <si>
    <t>оп.№ 6,8,40, 53, 74, 77 ,15, 23, 27, 30, 32,33,50, 79</t>
  </si>
  <si>
    <t>№26/53,55,26/72</t>
  </si>
  <si>
    <t>№ 1-26,26/53,55,26/72</t>
  </si>
  <si>
    <t>№ 31</t>
  </si>
  <si>
    <t>№ 31-35,36-44,45-54,56-58</t>
  </si>
  <si>
    <t>№ 31-58,26/72,26/53</t>
  </si>
  <si>
    <t>№ 24-38</t>
  </si>
  <si>
    <t>монтаж укоса</t>
  </si>
  <si>
    <t>01.05.2021</t>
  </si>
  <si>
    <t>31.12.2021</t>
  </si>
  <si>
    <t>пр. оп.4, 5, 6, 7, 9, 19,  34, 35, 36, 37, 38, 44, 45, 46, 47, 48, 49, 50, 51, 52, 55, 65, 76, 116, 117,26, 39, 114, 115,113, 43, 8930, 31, 32, 41, 42,23, 2495-97, 103-104119-120 3, 8, 17, 20, 22, 27, 33, 53, 57, 60, 81, 86, 94, 103, 104, 105, 107, 118, 120</t>
  </si>
  <si>
    <t>№4, 5, 6, 7, 9, 19, 43, 89, 114, 116, 117, 26, 34, 36, 37, 38, 39, 44, 45, 46, 47, 48, 49, 50, 55, 52, 65, 76, 113, 11526, 34, 36, 37, 38, 39, 44, 45, 46, 47, 48, 49, 50, 55, 52, 65, 76, 113, 115,23, 24,</t>
  </si>
  <si>
    <t xml:space="preserve">27, 33, 43,28, 29, 30, 31, 32, 34, 35, 36, 37, 38, 39, 40, 41, 42, 44-49, 51, 55, 82, 95, 96, 97, 98, 99, 100, 101, 102, 106, 109,95-97, 103-104,103, 104, 105, 107, 120 </t>
  </si>
  <si>
    <t xml:space="preserve">пр.оп. 2-28 </t>
  </si>
  <si>
    <t>ВЛ 10 кВ Ф-1 ПC Сергеевка</t>
  </si>
  <si>
    <t>пр.оп. 136-158</t>
  </si>
  <si>
    <t>пр.оп. 108-113, 120-123, 136-158, 159-190</t>
  </si>
  <si>
    <t>пр.оп.39-39/5, 39/4/1-39/4/2, 90-97, 129-131, 159-190, 168/1-168/6</t>
  </si>
  <si>
    <t>Механизированная  расчистка</t>
  </si>
  <si>
    <t>вырубка угрожающих  деревьев</t>
  </si>
  <si>
    <t xml:space="preserve">обрезка крон </t>
  </si>
  <si>
    <t>ВЛ 10 кВ Ф-1 ПC ОПХ</t>
  </si>
  <si>
    <t xml:space="preserve">пр. оп.№22-52, 52/1-52/9  </t>
  </si>
  <si>
    <t>оп. № 22-52, 52/1-52/9, 54-58</t>
  </si>
  <si>
    <t>пр.оп. № 22-52, 52/1-52/9, 52-74, 66/1-66/10</t>
  </si>
  <si>
    <t>вырубка деревьев</t>
  </si>
  <si>
    <t>пр.оп. 54-58, 59-74, 66-66/10</t>
  </si>
  <si>
    <t>обрезка крон</t>
  </si>
  <si>
    <t>пр. оп. 34-79</t>
  </si>
  <si>
    <t xml:space="preserve">оп. № 29-32, 80-117, 87-87/4, 126-131, 34, 45, 47, 58, 59, 79,35-44, 46, 48-57, 60-78 </t>
  </si>
  <si>
    <t>пр.оп. № 34-117, 126-131, 87-87/4</t>
  </si>
  <si>
    <t>33/1-33/6, 80-88, 87-87/4, 96-114, 117-126</t>
  </si>
  <si>
    <t>пр.оп.№ 14-26, 64-78, 64/3-64/9, 81-85, 84/1-84/10</t>
  </si>
  <si>
    <t>оп. № 5-10, 14-26, 27-39, 41-43, 64-78, 81-85</t>
  </si>
  <si>
    <t>3.1.55.</t>
  </si>
  <si>
    <t>HB009566</t>
  </si>
  <si>
    <t>ВЛ 10 кВ Ф-11 ПC Тополево</t>
  </si>
  <si>
    <t>пр.оп.№35-35/7</t>
  </si>
  <si>
    <t xml:space="preserve">оп. №35-35/7 </t>
  </si>
  <si>
    <t>пр.оп. 100-105</t>
  </si>
  <si>
    <t>демонтаж опор 49шт, демонтаж провода (по трассе) 3,17км, монтаж опор 49шт, монтаж провода (по трассе) 3,17км, обваловка опор 49 шт</t>
  </si>
  <si>
    <t>пр.оп. 22-24, 24/1-24/3, 32-36, 48-79, 39-39/5, 39/4/1-39/4/2, 79-81, 159-172, 176-190</t>
  </si>
  <si>
    <t>С-7 пр.оп. № портал-1, 2-10,12-17,22-23,25-32,34-39,47-52,88-96,102-103,111-117 (495,5 шт деревьев)</t>
  </si>
  <si>
    <t>С-7 пр.оп. № 1-2, 11-12, 17-22, 23-26, 30-31, 32-34, 39-47, 54-56, 57-63, 64-66, 67-72, 73-87, 96-101, 104-111</t>
  </si>
  <si>
    <t xml:space="preserve">С-7  оп.№1,2,14,16,20,21,22,27,31,32,36,47,57,58,59,64,82,83,84,86,87,88,94,96,105,106,113,114,116,4,5,6,8,13,17,18,19,25,26,30,34,41,44,45,48,49,89,108,110,111,112 </t>
  </si>
  <si>
    <t>С-8 пр.оп. № портал-1, 2-10,12-17,22-23,25-32,34-39,4С-7 7-52,88-96,102-103,111-117 (495,5 шт деревьев)</t>
  </si>
  <si>
    <t>С-8 пр.оп. № 1-2, 11-12, 17-22, 23-26, 30-31, 32-34, 39-47, 54-56, 57-63, 64-66, 67-72, 73-87, 96-101, 104-111</t>
  </si>
  <si>
    <t xml:space="preserve">С-8 оп.№1,2,14,16,20,21,22,27,31,32,36,47,57,58,59,64,82,83,84,86,87,88,94,96,105,106,113,114,116,4,5,6,8,13,17,18,19,25,26,30,34,41,44,45,48,49,89,108,110,111,112 </t>
  </si>
  <si>
    <t xml:space="preserve">С-13 пр.оп. № 1-2, 2-3,  3-4, 4-5, 6-7,7-8,8-9,30-31, 32-33, 33-34, 34-35, 134-135, банкетки: оп.№ 1,2,4,6,7,8,9,13,14,15,61,84,100,140,141,142,23,24,25 ,10,11,12, 20,21,101,102,103 </t>
  </si>
  <si>
    <t xml:space="preserve">С-13 пр.оп. № 31-32 </t>
  </si>
  <si>
    <t xml:space="preserve">С-13 пр.оп. № 9-10,10-11,11-12,12-13,13-14,14-15,17-18, 18-19, 19-20, 20-21, 23-24, 24-25, 25-26, 26-27, 28-29, 29-30, 30-31, 36-37, 37-38 ,38-39,39-55,55-61, 61-84, 84-103, 105-118, 119-127, 127-134, 136-137, 137-140, 140-141, 141-142 </t>
  </si>
  <si>
    <t>С-13 пр.оп.№ 15-16 , 
16-17, 17-18, 18-19 ,19-20 , 
20-21, 23-25, 25-26 , 26-27 , 29-30 ,
35-37 , 37-54 , 54-55 , 55-61 , 61-84 , 84-104 , 105-118 , 119-126 , 127-128,128-134, 136-137, 137-141, 141-142 (6950 шт деревьев)</t>
  </si>
  <si>
    <t xml:space="preserve">С-14 пр.оп. № 1-2, 2-3,  3-4, 4-5, 6-7,7-8,8-9,30-31, 32-33, 33-34, 34-35, 134-135, банкетки: оп.№ 1,2,4,6,7,8,9,13,14,15,61,84,100,140,141,142,23,24,25 ,10,11,12, 20,21,101,102,103 </t>
  </si>
  <si>
    <t xml:space="preserve">С-14 пр.оп. № 31-32 </t>
  </si>
  <si>
    <t xml:space="preserve">С-14 пр.оп. № 9-10,10-11,11-12,12-13,13-14,14-15,17-18, 18-19, 19-20, 20-21, 23-24, 24-25, 25-26, 26-27, 28-29, 29-30, 30-31, 36-37, 37-38 ,38-39,39-55,55-61, 61-84, 84-103, 105-118, 119-127, 127-134, 136-137, 137-140, 140-141, 141-142 </t>
  </si>
  <si>
    <t>С-14 пр.оп.№ 15-16 , 
16-17, 17-18, 18-19 ,19-20 , 
20-21, 23-25, 25-26 , 26-27 , 29-30 ,
35-37 , 37-54 , 54-55 , 55-61 , 61-84 , 84-104 , 105-118 , 119-126 , 127-128,128-134, 136-137, 137-141, 141-142 (6950 шт деревьев)</t>
  </si>
  <si>
    <t>С-47 пр.оп.№ 2-3, 7-8, 8-9, 9-10, 10-11, 11-12, 17-18, 18-19, 19-20, 3-4, 4-5, 5-6, 6-7, 13-14, 20-21, 21-22, 22-портал, на банкетаках № 3, 5, 8, 9, 10, 11, 12, 13, 14, 18, 19, 20, 21, 4, 6, 7,</t>
  </si>
  <si>
    <t>С-47 пр.оп. № 11-12, 12-13, 14-15, 15-16, 16-17</t>
  </si>
  <si>
    <t>С-48 пр.оп.№ 2-3, 7-8, 8-9, 9-10, 10-11, 11-12, 17-18, 18-19, 19-20, 3-4, 4-5, 5-6, 6-7, 13-14, 20-21, 21-22, 22-портал, на банкетаках № 3, 5, 8, 9, 10, 11, 12, 13, 14, 18, 19, 20, 21, 4, 6, 7,</t>
  </si>
  <si>
    <t>С-48 пр.оп. № 11-12, 12-13, 14-15, 15-16, 16-17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</si>
</sst>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_р_._-;\-* #,##0_р_._-;_-* &quot;-&quot;_р_._-;_-@_-"/>
    <numFmt numFmtId="165" formatCode="_-* #,##0.00&quot;р.&quot;_-;\-* #,##0.00&quot;р.&quot;_-;_-* &quot;-&quot;??&quot;р.&quot;_-;_-@_-"/>
    <numFmt numFmtId="166" formatCode="_-* #,##0.00_р_._-;\-* #,##0.00_р_._-;_-* &quot;-&quot;??_р_._-;_-@_-"/>
    <numFmt numFmtId="167" formatCode="0.0"/>
    <numFmt numFmtId="168" formatCode="&quot;$&quot;#,##0_);[Red]\(&quot;$&quot;#,##0\)"/>
    <numFmt numFmtId="169" formatCode="General_)"/>
    <numFmt numFmtId="170" formatCode="_-* #,##0.00_-;_-* #,##0.00\-;_-* &quot;-&quot;??_-;_-@_-"/>
    <numFmt numFmtId="171" formatCode="_-* #,##0_$_-;\-* #,##0_$_-;_-* &quot;-&quot;_$_-;_-@_-"/>
    <numFmt numFmtId="172" formatCode="_-* #,##0.00&quot;$&quot;_-;\-* #,##0.00&quot;$&quot;_-;_-* &quot;-&quot;??&quot;$&quot;_-;_-@_-"/>
    <numFmt numFmtId="173" formatCode="_-* #,##0.00_$_-;\-* #,##0.00_$_-;_-* &quot;-&quot;??_$_-;_-@_-"/>
    <numFmt numFmtId="174" formatCode="0.000"/>
    <numFmt numFmtId="175" formatCode="0.00000"/>
    <numFmt numFmtId="176" formatCode="0.0000"/>
  </numFmts>
  <fonts count="60">
    <font>
      <sz val="11"/>
      <color theme="1"/>
      <name val="Calibri"/>
      <family val="2"/>
      <scheme val="minor"/>
    </font>
    <font>
      <sz val="8"/>
      <name val="Times New Roman"/>
      <family val="1"/>
      <charset val="204"/>
    </font>
    <font>
      <b/>
      <i/>
      <sz val="8"/>
      <name val="Times New Roman"/>
      <family val="1"/>
      <charset val="204"/>
    </font>
    <font>
      <b/>
      <sz val="8"/>
      <name val="Times New Roman"/>
      <family val="1"/>
      <charset val="204"/>
    </font>
    <font>
      <u/>
      <sz val="11"/>
      <color theme="10"/>
      <name val="Calibri"/>
      <family val="2"/>
      <scheme val="minor"/>
    </font>
    <font>
      <sz val="11"/>
      <name val="Times New Roman"/>
      <family val="1"/>
      <charset val="204"/>
    </font>
    <font>
      <sz val="10"/>
      <name val="Times New Roman"/>
      <family val="1"/>
      <charset val="204"/>
    </font>
    <font>
      <sz val="11"/>
      <color theme="1"/>
      <name val="Times New Roman"/>
      <family val="1"/>
      <charset val="204"/>
    </font>
    <font>
      <b/>
      <i/>
      <sz val="9"/>
      <name val="Times New Roman"/>
      <family val="1"/>
      <charset val="204"/>
    </font>
    <font>
      <b/>
      <sz val="9"/>
      <name val="Times New Roman"/>
      <family val="1"/>
      <charset val="204"/>
    </font>
    <font>
      <b/>
      <sz val="14"/>
      <name val="Times New Roman"/>
      <family val="1"/>
      <charset val="204"/>
    </font>
    <font>
      <sz val="10"/>
      <color theme="1"/>
      <name val="Times New Roman"/>
      <family val="1"/>
      <charset val="204"/>
    </font>
    <font>
      <sz val="8"/>
      <color theme="1"/>
      <name val="Times New Roman"/>
      <family val="1"/>
      <charset val="204"/>
    </font>
    <font>
      <sz val="10"/>
      <name val="Arial Cyr"/>
      <charset val="204"/>
    </font>
    <font>
      <sz val="10"/>
      <name val="Helv"/>
    </font>
    <font>
      <sz val="1"/>
      <color indexed="8"/>
      <name val="Courier"/>
      <family val="3"/>
    </font>
    <font>
      <b/>
      <sz val="1"/>
      <color indexed="8"/>
      <name val="Courier"/>
      <family val="3"/>
    </font>
    <font>
      <sz val="10"/>
      <name val="Arial"/>
      <family val="2"/>
      <charset val="204"/>
    </font>
    <font>
      <sz val="10"/>
      <name val="MS Sans Serif"/>
      <family val="2"/>
      <charset val="204"/>
    </font>
    <font>
      <sz val="8"/>
      <name val="Optima"/>
      <family val="2"/>
    </font>
    <font>
      <sz val="8"/>
      <name val="Helv"/>
      <charset val="204"/>
    </font>
    <font>
      <sz val="8"/>
      <name val="Helv"/>
    </font>
    <font>
      <sz val="10"/>
      <name val="Arial Cyr"/>
      <family val="2"/>
      <charset val="204"/>
    </font>
    <font>
      <b/>
      <sz val="10"/>
      <color indexed="12"/>
      <name val="Arial Cyr"/>
      <family val="2"/>
      <charset val="204"/>
    </font>
    <font>
      <sz val="11"/>
      <name val="Times New Roman Cyr"/>
      <family val="1"/>
      <charset val="204"/>
    </font>
    <font>
      <sz val="10"/>
      <name val="NTHarmonica"/>
    </font>
    <font>
      <sz val="1"/>
      <color indexed="8"/>
      <name val="Courier"/>
      <family val="1"/>
      <charset val="204"/>
    </font>
    <font>
      <b/>
      <sz val="1"/>
      <color indexed="8"/>
      <name val="Courier"/>
      <family val="1"/>
      <charset val="204"/>
    </font>
    <font>
      <b/>
      <i/>
      <sz val="14"/>
      <name val="Times New Roman"/>
      <family val="1"/>
      <charset val="204"/>
    </font>
    <font>
      <sz val="14"/>
      <name val="Times New Roman"/>
      <family val="1"/>
      <charset val="204"/>
    </font>
    <font>
      <sz val="22"/>
      <name val="Times New Roman"/>
      <family val="1"/>
      <charset val="204"/>
    </font>
    <font>
      <sz val="9"/>
      <color indexed="81"/>
      <name val="Tahoma"/>
      <family val="2"/>
      <charset val="204"/>
    </font>
    <font>
      <b/>
      <sz val="10"/>
      <name val="Times New Roman"/>
      <family val="1"/>
      <charset val="204"/>
    </font>
    <font>
      <b/>
      <i/>
      <sz val="9"/>
      <color rgb="FFFF0000"/>
      <name val="Times New Roman"/>
      <family val="1"/>
      <charset val="204"/>
    </font>
    <font>
      <i/>
      <sz val="10"/>
      <name val="Times New Roman"/>
      <family val="1"/>
      <charset val="204"/>
    </font>
    <font>
      <i/>
      <sz val="11"/>
      <name val="Times New Roman"/>
      <family val="1"/>
      <charset val="204"/>
    </font>
    <font>
      <i/>
      <sz val="9"/>
      <name val="Times New Roman"/>
      <family val="1"/>
      <charset val="204"/>
    </font>
    <font>
      <i/>
      <sz val="8"/>
      <name val="Times New Roman"/>
      <family val="1"/>
      <charset val="204"/>
    </font>
    <font>
      <b/>
      <i/>
      <sz val="11"/>
      <name val="Times New Roman"/>
      <family val="1"/>
      <charset val="204"/>
    </font>
    <font>
      <i/>
      <sz val="7"/>
      <name val="Times New Roman"/>
      <family val="1"/>
      <charset val="204"/>
    </font>
    <font>
      <b/>
      <sz val="11"/>
      <color theme="1"/>
      <name val="Times New Roman"/>
      <family val="1"/>
      <charset val="204"/>
    </font>
    <font>
      <b/>
      <i/>
      <sz val="11"/>
      <color theme="1"/>
      <name val="Times New Roman"/>
      <family val="1"/>
      <charset val="204"/>
    </font>
    <font>
      <i/>
      <sz val="11"/>
      <color theme="1"/>
      <name val="Times New Roman"/>
      <family val="1"/>
      <charset val="204"/>
    </font>
    <font>
      <b/>
      <sz val="9"/>
      <color indexed="81"/>
      <name val="Tahoma"/>
      <family val="2"/>
      <charset val="204"/>
    </font>
    <font>
      <sz val="10"/>
      <color theme="3" tint="0.79998168889431442"/>
      <name val="Times New Roman"/>
      <family val="1"/>
      <charset val="204"/>
    </font>
    <font>
      <sz val="10"/>
      <color theme="8" tint="0.79998168889431442"/>
      <name val="Times New Roman"/>
      <family val="1"/>
      <charset val="204"/>
    </font>
    <font>
      <sz val="8"/>
      <color theme="3" tint="0.79998168889431442"/>
      <name val="Times New Roman"/>
      <family val="1"/>
      <charset val="204"/>
    </font>
    <font>
      <b/>
      <sz val="8"/>
      <color rgb="FFFF0000"/>
      <name val="Times New Roman"/>
      <family val="1"/>
      <charset val="204"/>
    </font>
    <font>
      <sz val="14"/>
      <color indexed="81"/>
      <name val="Tahoma"/>
      <family val="2"/>
      <charset val="204"/>
    </font>
    <font>
      <sz val="11"/>
      <color theme="1"/>
      <name val="Calibri"/>
      <family val="2"/>
      <scheme val="minor"/>
    </font>
    <font>
      <sz val="16"/>
      <name val="Times New Roman"/>
      <family val="1"/>
      <charset val="204"/>
    </font>
    <font>
      <b/>
      <i/>
      <sz val="16"/>
      <name val="Times New Roman"/>
      <family val="1"/>
      <charset val="204"/>
    </font>
    <font>
      <b/>
      <sz val="16"/>
      <name val="Times New Roman"/>
      <family val="1"/>
      <charset val="204"/>
    </font>
    <font>
      <i/>
      <sz val="16"/>
      <name val="Times New Roman"/>
      <family val="1"/>
      <charset val="204"/>
    </font>
    <font>
      <sz val="16"/>
      <color rgb="FFFF0000"/>
      <name val="Times New Roman"/>
      <family val="1"/>
      <charset val="204"/>
    </font>
    <font>
      <sz val="16"/>
      <color theme="1"/>
      <name val="Times New Roman"/>
      <family val="1"/>
      <charset val="204"/>
    </font>
    <font>
      <sz val="20"/>
      <name val="Times New Roman"/>
      <family val="1"/>
      <charset val="204"/>
    </font>
    <font>
      <i/>
      <sz val="16"/>
      <color theme="1"/>
      <name val="Times New Roman"/>
      <family val="1"/>
      <charset val="204"/>
    </font>
    <font>
      <b/>
      <i/>
      <sz val="16"/>
      <color rgb="FFFF0000"/>
      <name val="Times New Roman"/>
      <family val="1"/>
      <charset val="204"/>
    </font>
    <font>
      <b/>
      <sz val="32"/>
      <name val="Times New Roman"/>
      <family val="1"/>
      <charset val="204"/>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indexed="27"/>
        <bgColor indexed="64"/>
      </patternFill>
    </fill>
    <fill>
      <patternFill patternType="solid">
        <fgColor indexed="43"/>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rgb="FF99FFCC"/>
        <bgColor indexed="64"/>
      </patternFill>
    </fill>
    <fill>
      <patternFill patternType="solid">
        <fgColor rgb="FF99FF33"/>
        <bgColor indexed="64"/>
      </patternFill>
    </fill>
    <fill>
      <patternFill patternType="solid">
        <fgColor theme="7" tint="-0.249977111117893"/>
        <bgColor indexed="64"/>
      </patternFill>
    </fill>
    <fill>
      <patternFill patternType="solid">
        <fgColor rgb="FFFF0066"/>
        <bgColor indexed="64"/>
      </patternFill>
    </fill>
    <fill>
      <patternFill patternType="solid">
        <fgColor rgb="FFFFFFFF"/>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FF99FF"/>
        <bgColor indexed="64"/>
      </patternFill>
    </fill>
    <fill>
      <patternFill patternType="solid">
        <fgColor theme="9" tint="0.59999389629810485"/>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s>
  <cellStyleXfs count="67">
    <xf numFmtId="0" fontId="0" fillId="0" borderId="0"/>
    <xf numFmtId="0" fontId="4" fillId="0" borderId="0" applyNumberFormat="0" applyFill="0" applyBorder="0" applyAlignment="0" applyProtection="0"/>
    <xf numFmtId="0" fontId="13" fillId="0" borderId="0"/>
    <xf numFmtId="170" fontId="13" fillId="0" borderId="7">
      <protection locked="0"/>
    </xf>
    <xf numFmtId="170" fontId="13" fillId="0" borderId="7">
      <protection locked="0"/>
    </xf>
    <xf numFmtId="170" fontId="13" fillId="0" borderId="7">
      <protection locked="0"/>
    </xf>
    <xf numFmtId="165" fontId="15" fillId="0" borderId="0">
      <protection locked="0"/>
    </xf>
    <xf numFmtId="165" fontId="26" fillId="0" borderId="0">
      <protection locked="0"/>
    </xf>
    <xf numFmtId="165" fontId="15" fillId="0" borderId="0">
      <protection locked="0"/>
    </xf>
    <xf numFmtId="165" fontId="26" fillId="0" borderId="0">
      <protection locked="0"/>
    </xf>
    <xf numFmtId="170" fontId="13" fillId="0" borderId="0">
      <protection locked="0"/>
    </xf>
    <xf numFmtId="170" fontId="13" fillId="0" borderId="0">
      <protection locked="0"/>
    </xf>
    <xf numFmtId="170" fontId="13" fillId="0" borderId="0">
      <protection locked="0"/>
    </xf>
    <xf numFmtId="170" fontId="13" fillId="0" borderId="0">
      <protection locked="0"/>
    </xf>
    <xf numFmtId="170" fontId="13" fillId="0" borderId="0">
      <protection locked="0"/>
    </xf>
    <xf numFmtId="170" fontId="13" fillId="0" borderId="0">
      <protection locked="0"/>
    </xf>
    <xf numFmtId="165" fontId="15" fillId="0" borderId="0">
      <protection locked="0"/>
    </xf>
    <xf numFmtId="165" fontId="26" fillId="0" borderId="0">
      <protection locked="0"/>
    </xf>
    <xf numFmtId="170" fontId="13" fillId="0" borderId="0">
      <protection locked="0"/>
    </xf>
    <xf numFmtId="170" fontId="13" fillId="0" borderId="0">
      <protection locked="0"/>
    </xf>
    <xf numFmtId="170" fontId="13" fillId="0" borderId="0">
      <protection locked="0"/>
    </xf>
    <xf numFmtId="0" fontId="16" fillId="0" borderId="0">
      <protection locked="0"/>
    </xf>
    <xf numFmtId="0" fontId="27" fillId="0" borderId="0">
      <protection locked="0"/>
    </xf>
    <xf numFmtId="0" fontId="16" fillId="0" borderId="0">
      <protection locked="0"/>
    </xf>
    <xf numFmtId="0" fontId="27" fillId="0" borderId="0">
      <protection locked="0"/>
    </xf>
    <xf numFmtId="0" fontId="15" fillId="0" borderId="7">
      <protection locked="0"/>
    </xf>
    <xf numFmtId="0" fontId="26" fillId="0" borderId="7">
      <protection locked="0"/>
    </xf>
    <xf numFmtId="171" fontId="17" fillId="0" borderId="0" applyFont="0" applyFill="0" applyBorder="0" applyAlignment="0" applyProtection="0"/>
    <xf numFmtId="173" fontId="17" fillId="0" borderId="0" applyFont="0" applyFill="0" applyBorder="0" applyAlignment="0" applyProtection="0"/>
    <xf numFmtId="168" fontId="18" fillId="0" borderId="0" applyFont="0" applyFill="0" applyBorder="0" applyAlignment="0" applyProtection="0"/>
    <xf numFmtId="172" fontId="17" fillId="0" borderId="0" applyFont="0" applyFill="0" applyBorder="0" applyAlignment="0" applyProtection="0"/>
    <xf numFmtId="170" fontId="13" fillId="0" borderId="0">
      <protection locked="0"/>
    </xf>
    <xf numFmtId="170" fontId="13" fillId="0" borderId="0">
      <protection locked="0"/>
    </xf>
    <xf numFmtId="170" fontId="13" fillId="0" borderId="0">
      <protection locked="0"/>
    </xf>
    <xf numFmtId="170" fontId="13" fillId="0" borderId="0">
      <protection locked="0"/>
    </xf>
    <xf numFmtId="170" fontId="13" fillId="0" borderId="0">
      <protection locked="0"/>
    </xf>
    <xf numFmtId="170" fontId="13" fillId="0" borderId="0">
      <protection locked="0"/>
    </xf>
    <xf numFmtId="170" fontId="13" fillId="0" borderId="0">
      <protection locked="0"/>
    </xf>
    <xf numFmtId="170" fontId="13" fillId="0" borderId="0">
      <protection locked="0"/>
    </xf>
    <xf numFmtId="170" fontId="13" fillId="0" borderId="0">
      <protection locked="0"/>
    </xf>
    <xf numFmtId="170" fontId="13" fillId="0" borderId="0">
      <protection locked="0"/>
    </xf>
    <xf numFmtId="170" fontId="13" fillId="0" borderId="0">
      <protection locked="0"/>
    </xf>
    <xf numFmtId="170" fontId="13" fillId="0" borderId="0">
      <protection locked="0"/>
    </xf>
    <xf numFmtId="170" fontId="13" fillId="0" borderId="0">
      <protection locked="0"/>
    </xf>
    <xf numFmtId="170" fontId="13" fillId="0" borderId="0">
      <protection locked="0"/>
    </xf>
    <xf numFmtId="170" fontId="13" fillId="0" borderId="0">
      <protection locked="0"/>
    </xf>
    <xf numFmtId="170" fontId="13" fillId="0" borderId="0">
      <protection locked="0"/>
    </xf>
    <xf numFmtId="170" fontId="13" fillId="0" borderId="0">
      <protection locked="0"/>
    </xf>
    <xf numFmtId="170" fontId="13" fillId="0" borderId="0">
      <protection locked="0"/>
    </xf>
    <xf numFmtId="170" fontId="13" fillId="0" borderId="0">
      <protection locked="0"/>
    </xf>
    <xf numFmtId="170" fontId="13" fillId="0" borderId="0">
      <protection locked="0"/>
    </xf>
    <xf numFmtId="170" fontId="13" fillId="0" borderId="0">
      <protection locked="0"/>
    </xf>
    <xf numFmtId="0" fontId="19" fillId="0" borderId="0"/>
    <xf numFmtId="0" fontId="20" fillId="0" borderId="0"/>
    <xf numFmtId="0" fontId="21" fillId="0" borderId="0" applyNumberFormat="0">
      <alignment horizontal="left"/>
    </xf>
    <xf numFmtId="169" fontId="22" fillId="0" borderId="8">
      <protection locked="0"/>
    </xf>
    <xf numFmtId="169" fontId="23" fillId="5" borderId="8"/>
    <xf numFmtId="0" fontId="17" fillId="0" borderId="0"/>
    <xf numFmtId="167" fontId="24" fillId="6" borderId="9" applyNumberFormat="0" applyBorder="0" applyAlignment="0">
      <alignment vertical="center"/>
      <protection locked="0"/>
    </xf>
    <xf numFmtId="0" fontId="14" fillId="0" borderId="0"/>
    <xf numFmtId="164" fontId="25" fillId="0" borderId="0" applyFont="0" applyFill="0" applyBorder="0" applyAlignment="0" applyProtection="0"/>
    <xf numFmtId="166" fontId="25" fillId="0" borderId="0" applyFont="0" applyFill="0" applyBorder="0" applyAlignment="0" applyProtection="0"/>
    <xf numFmtId="165" fontId="15" fillId="0" borderId="0">
      <protection locked="0"/>
    </xf>
    <xf numFmtId="165" fontId="26" fillId="0" borderId="0">
      <protection locked="0"/>
    </xf>
    <xf numFmtId="0" fontId="13" fillId="0" borderId="0"/>
    <xf numFmtId="166" fontId="13" fillId="0" borderId="0" applyFont="0" applyFill="0" applyBorder="0" applyAlignment="0" applyProtection="0"/>
    <xf numFmtId="0" fontId="49" fillId="0" borderId="0"/>
  </cellStyleXfs>
  <cellXfs count="664">
    <xf numFmtId="0" fontId="0" fillId="0" borderId="0" xfId="0"/>
    <xf numFmtId="0" fontId="1" fillId="0" borderId="0" xfId="0" applyFont="1" applyAlignment="1">
      <alignment horizontal="right"/>
    </xf>
    <xf numFmtId="0" fontId="1" fillId="0" borderId="0" xfId="0" applyFont="1"/>
    <xf numFmtId="0" fontId="1" fillId="2" borderId="0" xfId="0" applyFont="1" applyFill="1" applyBorder="1" applyAlignment="1">
      <alignment horizontal="right"/>
    </xf>
    <xf numFmtId="0" fontId="1" fillId="2" borderId="0" xfId="0" applyFont="1" applyFill="1" applyBorder="1"/>
    <xf numFmtId="0" fontId="1" fillId="2" borderId="0" xfId="0" applyFont="1" applyFill="1"/>
    <xf numFmtId="0" fontId="1" fillId="2" borderId="0" xfId="0" applyFont="1" applyFill="1" applyAlignment="1">
      <alignment horizontal="center"/>
    </xf>
    <xf numFmtId="0" fontId="1" fillId="2" borderId="0" xfId="0" applyFont="1" applyFill="1" applyBorder="1" applyAlignment="1">
      <alignment horizontal="center"/>
    </xf>
    <xf numFmtId="0" fontId="1" fillId="2" borderId="2" xfId="0" applyFont="1" applyFill="1" applyBorder="1"/>
    <xf numFmtId="0" fontId="1" fillId="2" borderId="2" xfId="0" applyFont="1" applyFill="1" applyBorder="1" applyAlignment="1">
      <alignment horizontal="left"/>
    </xf>
    <xf numFmtId="167" fontId="1" fillId="2" borderId="2" xfId="0" applyNumberFormat="1" applyFont="1" applyFill="1" applyBorder="1"/>
    <xf numFmtId="167" fontId="1" fillId="2" borderId="2" xfId="0" applyNumberFormat="1" applyFont="1" applyFill="1" applyBorder="1" applyAlignment="1">
      <alignment horizontal="center"/>
    </xf>
    <xf numFmtId="0" fontId="1" fillId="2" borderId="1" xfId="0" applyFont="1" applyFill="1" applyBorder="1"/>
    <xf numFmtId="0" fontId="1" fillId="2" borderId="1" xfId="0" applyFont="1" applyFill="1" applyBorder="1" applyAlignment="1">
      <alignment horizontal="left" wrapText="1"/>
    </xf>
    <xf numFmtId="167" fontId="1" fillId="2" borderId="1" xfId="0" applyNumberFormat="1" applyFont="1" applyFill="1" applyBorder="1"/>
    <xf numFmtId="167" fontId="1" fillId="2" borderId="1" xfId="0" applyNumberFormat="1" applyFont="1" applyFill="1" applyBorder="1" applyAlignment="1">
      <alignment horizontal="center"/>
    </xf>
    <xf numFmtId="0" fontId="6" fillId="0" borderId="2" xfId="0" applyFont="1" applyBorder="1"/>
    <xf numFmtId="0" fontId="5" fillId="0" borderId="2" xfId="0" applyFont="1" applyFill="1" applyBorder="1" applyAlignment="1">
      <alignment horizontal="center"/>
    </xf>
    <xf numFmtId="0" fontId="6" fillId="0" borderId="2" xfId="1" applyFont="1" applyBorder="1"/>
    <xf numFmtId="2" fontId="6" fillId="0" borderId="2" xfId="0" applyNumberFormat="1" applyFont="1" applyFill="1" applyBorder="1" applyAlignment="1">
      <alignment horizontal="center" vertical="center"/>
    </xf>
    <xf numFmtId="0" fontId="6" fillId="0" borderId="0" xfId="0" applyFont="1" applyBorder="1"/>
    <xf numFmtId="0" fontId="6" fillId="0" borderId="0" xfId="1" applyFont="1" applyBorder="1"/>
    <xf numFmtId="0" fontId="6" fillId="0" borderId="0" xfId="0" applyFont="1" applyBorder="1" applyAlignment="1">
      <alignment horizontal="left"/>
    </xf>
    <xf numFmtId="2" fontId="29" fillId="2" borderId="1" xfId="0" applyNumberFormat="1" applyFont="1" applyFill="1" applyBorder="1" applyAlignment="1">
      <alignment horizontal="center" vertical="center"/>
    </xf>
    <xf numFmtId="0" fontId="7" fillId="8" borderId="2" xfId="0" applyFont="1" applyFill="1" applyBorder="1"/>
    <xf numFmtId="0" fontId="6" fillId="0" borderId="2" xfId="1" applyFont="1" applyFill="1" applyBorder="1" applyAlignment="1">
      <alignment horizontal="center" vertical="center"/>
    </xf>
    <xf numFmtId="0" fontId="9" fillId="0" borderId="2" xfId="0" applyFont="1" applyFill="1" applyBorder="1" applyAlignment="1">
      <alignment horizontal="center" vertical="center"/>
    </xf>
    <xf numFmtId="2" fontId="8"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8" borderId="2" xfId="0" applyFont="1" applyFill="1" applyBorder="1" applyAlignment="1">
      <alignment wrapText="1"/>
    </xf>
    <xf numFmtId="1" fontId="7" fillId="8" borderId="2" xfId="0" applyNumberFormat="1" applyFont="1" applyFill="1" applyBorder="1"/>
    <xf numFmtId="0" fontId="5" fillId="0" borderId="0" xfId="0" applyFont="1"/>
    <xf numFmtId="0" fontId="1" fillId="0" borderId="0" xfId="0" applyFont="1" applyAlignment="1">
      <alignment wrapText="1"/>
    </xf>
    <xf numFmtId="0" fontId="1" fillId="2" borderId="0" xfId="0" applyFont="1" applyFill="1" applyBorder="1" applyAlignment="1">
      <alignment wrapText="1"/>
    </xf>
    <xf numFmtId="0" fontId="1" fillId="2" borderId="2" xfId="0" applyFont="1" applyFill="1" applyBorder="1" applyAlignment="1">
      <alignment horizontal="left" wrapText="1"/>
    </xf>
    <xf numFmtId="0" fontId="5" fillId="0" borderId="2" xfId="0" applyFont="1" applyFill="1" applyBorder="1" applyAlignment="1">
      <alignment horizontal="center" wrapText="1"/>
    </xf>
    <xf numFmtId="0" fontId="6" fillId="0" borderId="0" xfId="0" applyFont="1" applyBorder="1" applyAlignment="1">
      <alignment wrapText="1"/>
    </xf>
    <xf numFmtId="0" fontId="5" fillId="0" borderId="0" xfId="0" applyFont="1" applyAlignment="1">
      <alignment wrapText="1"/>
    </xf>
    <xf numFmtId="0" fontId="6" fillId="3" borderId="2" xfId="0" applyFont="1" applyFill="1" applyBorder="1" applyAlignment="1">
      <alignment horizontal="center" vertical="center"/>
    </xf>
    <xf numFmtId="0" fontId="5" fillId="3" borderId="2" xfId="0" applyFont="1" applyFill="1" applyBorder="1" applyAlignment="1">
      <alignment horizontal="center"/>
    </xf>
    <xf numFmtId="2" fontId="6" fillId="0" borderId="2" xfId="0" applyNumberFormat="1" applyFont="1" applyBorder="1" applyAlignment="1">
      <alignment horizontal="center" vertical="center"/>
    </xf>
    <xf numFmtId="0" fontId="6" fillId="0" borderId="2" xfId="0" applyFont="1" applyBorder="1" applyAlignment="1">
      <alignment wrapText="1"/>
    </xf>
    <xf numFmtId="0" fontId="1" fillId="3" borderId="1" xfId="0" applyFont="1" applyFill="1" applyBorder="1" applyAlignment="1">
      <alignment horizontal="center" vertical="center" wrapText="1"/>
    </xf>
    <xf numFmtId="0" fontId="1" fillId="0" borderId="0" xfId="0" applyFont="1" applyAlignment="1">
      <alignment horizontal="center"/>
    </xf>
    <xf numFmtId="0" fontId="7" fillId="8" borderId="2" xfId="0" applyFont="1" applyFill="1" applyBorder="1" applyAlignment="1">
      <alignment horizontal="center"/>
    </xf>
    <xf numFmtId="0" fontId="5" fillId="8" borderId="2" xfId="0" applyFont="1" applyFill="1" applyBorder="1" applyAlignment="1">
      <alignment horizontal="center"/>
    </xf>
    <xf numFmtId="2" fontId="7" fillId="8" borderId="2" xfId="0" applyNumberFormat="1" applyFont="1" applyFill="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2" fontId="5" fillId="8" borderId="2" xfId="0" applyNumberFormat="1" applyFont="1" applyFill="1" applyBorder="1" applyAlignment="1">
      <alignment horizontal="center"/>
    </xf>
    <xf numFmtId="0" fontId="6" fillId="0" borderId="2" xfId="0" applyFont="1" applyBorder="1" applyAlignment="1">
      <alignment horizontal="center"/>
    </xf>
    <xf numFmtId="0" fontId="6" fillId="3" borderId="0" xfId="0" applyFont="1" applyFill="1" applyBorder="1" applyAlignment="1">
      <alignment horizontal="center" vertical="center"/>
    </xf>
    <xf numFmtId="0" fontId="6" fillId="0" borderId="0" xfId="0" applyFont="1" applyFill="1" applyBorder="1" applyAlignment="1">
      <alignment horizontal="center"/>
    </xf>
    <xf numFmtId="0" fontId="7" fillId="0" borderId="2" xfId="0" applyFont="1" applyFill="1" applyBorder="1"/>
    <xf numFmtId="0" fontId="7" fillId="0" borderId="2" xfId="0" applyFont="1" applyFill="1" applyBorder="1" applyAlignment="1">
      <alignment wrapText="1"/>
    </xf>
    <xf numFmtId="0" fontId="5" fillId="0" borderId="14" xfId="0" applyFont="1" applyFill="1" applyBorder="1" applyAlignment="1">
      <alignment horizontal="center"/>
    </xf>
    <xf numFmtId="0" fontId="10" fillId="7" borderId="18" xfId="0" applyFont="1" applyFill="1" applyBorder="1"/>
    <xf numFmtId="0" fontId="6" fillId="7" borderId="18" xfId="0" applyFont="1" applyFill="1" applyBorder="1" applyAlignment="1">
      <alignment wrapText="1"/>
    </xf>
    <xf numFmtId="0" fontId="6" fillId="7" borderId="18" xfId="0" applyFont="1" applyFill="1" applyBorder="1"/>
    <xf numFmtId="0" fontId="6" fillId="7" borderId="18" xfId="0" applyFont="1" applyFill="1" applyBorder="1" applyAlignment="1">
      <alignment horizontal="left"/>
    </xf>
    <xf numFmtId="2" fontId="6" fillId="7" borderId="18" xfId="0" applyNumberFormat="1" applyFont="1" applyFill="1" applyBorder="1" applyAlignment="1">
      <alignment horizontal="center"/>
    </xf>
    <xf numFmtId="2" fontId="6" fillId="7" borderId="18" xfId="0" applyNumberFormat="1" applyFont="1" applyFill="1" applyBorder="1" applyAlignment="1">
      <alignment horizontal="center" vertical="center"/>
    </xf>
    <xf numFmtId="0" fontId="5" fillId="0" borderId="0" xfId="0" applyFont="1" applyFill="1" applyBorder="1"/>
    <xf numFmtId="2" fontId="6" fillId="7" borderId="20" xfId="0" applyNumberFormat="1" applyFont="1" applyFill="1" applyBorder="1" applyAlignment="1">
      <alignment horizontal="center"/>
    </xf>
    <xf numFmtId="0" fontId="1" fillId="0" borderId="0" xfId="0" applyFont="1" applyFill="1" applyBorder="1"/>
    <xf numFmtId="0" fontId="7" fillId="0" borderId="0" xfId="0" applyFont="1" applyFill="1" applyBorder="1"/>
    <xf numFmtId="0" fontId="2" fillId="0" borderId="0" xfId="0" applyFont="1" applyFill="1" applyBorder="1"/>
    <xf numFmtId="2" fontId="6" fillId="0" borderId="0" xfId="0" applyNumberFormat="1" applyFont="1" applyFill="1" applyBorder="1" applyAlignment="1">
      <alignment horizontal="center"/>
    </xf>
    <xf numFmtId="0" fontId="6" fillId="7" borderId="18" xfId="0" applyFont="1" applyFill="1" applyBorder="1" applyAlignment="1">
      <alignment horizontal="center"/>
    </xf>
    <xf numFmtId="0" fontId="6" fillId="0" borderId="14" xfId="1" applyFont="1" applyFill="1" applyBorder="1" applyAlignment="1">
      <alignment horizontal="center" vertical="center"/>
    </xf>
    <xf numFmtId="0" fontId="9" fillId="0" borderId="14" xfId="0" applyFont="1" applyFill="1" applyBorder="1" applyAlignment="1">
      <alignment horizontal="center" vertical="center"/>
    </xf>
    <xf numFmtId="0" fontId="5" fillId="0" borderId="14" xfId="0" applyFont="1" applyFill="1" applyBorder="1" applyAlignment="1">
      <alignment horizontal="center" wrapText="1"/>
    </xf>
    <xf numFmtId="0" fontId="5" fillId="0" borderId="14" xfId="0" applyFont="1" applyFill="1" applyBorder="1" applyAlignment="1">
      <alignment horizontal="center" vertical="center" wrapText="1"/>
    </xf>
    <xf numFmtId="0" fontId="7" fillId="0" borderId="2" xfId="0" applyFont="1" applyFill="1" applyBorder="1" applyAlignment="1">
      <alignment horizontal="center"/>
    </xf>
    <xf numFmtId="0" fontId="6" fillId="0" borderId="2" xfId="0" applyFont="1" applyFill="1" applyBorder="1" applyAlignment="1">
      <alignment horizontal="center" vertical="center"/>
    </xf>
    <xf numFmtId="0" fontId="35" fillId="0" borderId="0" xfId="0" applyFont="1" applyFill="1" applyBorder="1"/>
    <xf numFmtId="2" fontId="1" fillId="0" borderId="0" xfId="0" applyNumberFormat="1" applyFont="1" applyAlignment="1">
      <alignment horizontal="center"/>
    </xf>
    <xf numFmtId="2" fontId="3"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2" fontId="1" fillId="2" borderId="0" xfId="0" applyNumberFormat="1" applyFont="1" applyFill="1" applyBorder="1" applyAlignment="1">
      <alignment horizontal="center"/>
    </xf>
    <xf numFmtId="2" fontId="30" fillId="2" borderId="0" xfId="0" applyNumberFormat="1" applyFont="1" applyFill="1" applyBorder="1" applyAlignment="1">
      <alignment horizontal="center"/>
    </xf>
    <xf numFmtId="2" fontId="1" fillId="2" borderId="0" xfId="0" applyNumberFormat="1" applyFont="1" applyFill="1" applyAlignment="1">
      <alignment horizontal="center"/>
    </xf>
    <xf numFmtId="2" fontId="1" fillId="2" borderId="0" xfId="0" applyNumberFormat="1" applyFont="1" applyFill="1" applyBorder="1" applyAlignment="1">
      <alignment horizontal="center" vertical="center"/>
    </xf>
    <xf numFmtId="2" fontId="6" fillId="0" borderId="0" xfId="0" applyNumberFormat="1" applyFont="1" applyBorder="1" applyAlignment="1">
      <alignment horizontal="center"/>
    </xf>
    <xf numFmtId="2" fontId="5" fillId="0" borderId="0" xfId="0" applyNumberFormat="1" applyFont="1" applyAlignment="1">
      <alignment horizontal="center"/>
    </xf>
    <xf numFmtId="167" fontId="1" fillId="3" borderId="2" xfId="0" applyNumberFormat="1" applyFont="1" applyFill="1" applyBorder="1" applyAlignment="1">
      <alignment horizontal="center"/>
    </xf>
    <xf numFmtId="0" fontId="1" fillId="3" borderId="0" xfId="0" applyFont="1" applyFill="1" applyAlignment="1">
      <alignment horizontal="center"/>
    </xf>
    <xf numFmtId="0" fontId="1" fillId="3" borderId="0" xfId="0" applyFont="1" applyFill="1" applyBorder="1" applyAlignment="1">
      <alignment horizontal="center"/>
    </xf>
    <xf numFmtId="167" fontId="1" fillId="3" borderId="1" xfId="0" applyNumberFormat="1" applyFont="1" applyFill="1" applyBorder="1" applyAlignment="1">
      <alignment horizontal="center"/>
    </xf>
    <xf numFmtId="0" fontId="6" fillId="3" borderId="0" xfId="0" applyFont="1" applyFill="1" applyBorder="1" applyAlignment="1">
      <alignment horizontal="center"/>
    </xf>
    <xf numFmtId="0" fontId="5" fillId="3" borderId="0" xfId="0" applyFont="1" applyFill="1" applyAlignment="1">
      <alignment horizontal="center"/>
    </xf>
    <xf numFmtId="0" fontId="40" fillId="8" borderId="2" xfId="0" applyFont="1" applyFill="1" applyBorder="1"/>
    <xf numFmtId="2" fontId="1" fillId="2" borderId="2" xfId="0" applyNumberFormat="1" applyFont="1" applyFill="1" applyBorder="1" applyAlignment="1">
      <alignment horizontal="center"/>
    </xf>
    <xf numFmtId="0" fontId="40" fillId="0" borderId="0" xfId="0" applyFont="1" applyFill="1" applyBorder="1"/>
    <xf numFmtId="174" fontId="5" fillId="0" borderId="2" xfId="0" applyNumberFormat="1" applyFont="1" applyFill="1" applyBorder="1" applyAlignment="1">
      <alignment horizontal="center"/>
    </xf>
    <xf numFmtId="0" fontId="7" fillId="3" borderId="2" xfId="0" applyFont="1" applyFill="1" applyBorder="1"/>
    <xf numFmtId="0" fontId="7" fillId="3" borderId="2" xfId="0" applyFont="1" applyFill="1" applyBorder="1" applyAlignment="1">
      <alignment wrapText="1"/>
    </xf>
    <xf numFmtId="0" fontId="7" fillId="3" borderId="2" xfId="0" applyFont="1" applyFill="1" applyBorder="1" applyAlignment="1">
      <alignment horizontal="center"/>
    </xf>
    <xf numFmtId="0" fontId="41" fillId="8" borderId="2" xfId="0" applyFont="1" applyFill="1" applyBorder="1"/>
    <xf numFmtId="0" fontId="41" fillId="8" borderId="2" xfId="0" applyFont="1" applyFill="1" applyBorder="1" applyAlignment="1">
      <alignment wrapText="1"/>
    </xf>
    <xf numFmtId="0" fontId="41" fillId="8" borderId="2" xfId="0" applyFont="1" applyFill="1" applyBorder="1" applyAlignment="1">
      <alignment horizontal="center"/>
    </xf>
    <xf numFmtId="0" fontId="41" fillId="0" borderId="0" xfId="0" applyFont="1" applyFill="1" applyBorder="1"/>
    <xf numFmtId="0" fontId="42" fillId="8" borderId="2" xfId="0" applyFont="1" applyFill="1" applyBorder="1"/>
    <xf numFmtId="0" fontId="42" fillId="8" borderId="2" xfId="0" applyFont="1" applyFill="1" applyBorder="1" applyAlignment="1">
      <alignment wrapText="1"/>
    </xf>
    <xf numFmtId="0" fontId="42" fillId="8" borderId="2" xfId="0" applyFont="1" applyFill="1" applyBorder="1" applyAlignment="1">
      <alignment horizontal="center"/>
    </xf>
    <xf numFmtId="0" fontId="42" fillId="0" borderId="0" xfId="0" applyFont="1" applyFill="1" applyBorder="1"/>
    <xf numFmtId="0" fontId="38" fillId="10" borderId="2" xfId="0" applyFont="1" applyFill="1" applyBorder="1"/>
    <xf numFmtId="2" fontId="38" fillId="10" borderId="2" xfId="0" applyNumberFormat="1" applyFont="1" applyFill="1" applyBorder="1" applyAlignment="1">
      <alignment horizontal="right"/>
    </xf>
    <xf numFmtId="0" fontId="41" fillId="10" borderId="2" xfId="0" applyFont="1" applyFill="1" applyBorder="1"/>
    <xf numFmtId="2" fontId="41" fillId="10" borderId="2" xfId="0" applyNumberFormat="1" applyFont="1" applyFill="1" applyBorder="1"/>
    <xf numFmtId="0" fontId="42" fillId="10" borderId="2" xfId="0" applyFont="1" applyFill="1" applyBorder="1"/>
    <xf numFmtId="2" fontId="42" fillId="10" borderId="2" xfId="0" applyNumberFormat="1" applyFont="1" applyFill="1" applyBorder="1"/>
    <xf numFmtId="0" fontId="1" fillId="0" borderId="0" xfId="0" applyFont="1" applyAlignment="1">
      <alignment horizontal="center" vertical="center"/>
    </xf>
    <xf numFmtId="0" fontId="1" fillId="2" borderId="0" xfId="0" applyFont="1" applyFill="1" applyBorder="1" applyAlignment="1">
      <alignment horizontal="center" vertical="center"/>
    </xf>
    <xf numFmtId="0" fontId="7" fillId="8" borderId="2" xfId="0" applyFont="1" applyFill="1" applyBorder="1" applyAlignment="1">
      <alignment horizontal="center" vertical="center"/>
    </xf>
    <xf numFmtId="167" fontId="1" fillId="3" borderId="2" xfId="0" applyNumberFormat="1" applyFont="1" applyFill="1" applyBorder="1" applyAlignment="1">
      <alignment horizontal="center" vertical="center"/>
    </xf>
    <xf numFmtId="167" fontId="1" fillId="2" borderId="1" xfId="0" applyNumberFormat="1" applyFont="1" applyFill="1" applyBorder="1" applyAlignment="1">
      <alignment horizontal="center" vertical="center"/>
    </xf>
    <xf numFmtId="0" fontId="5" fillId="7" borderId="1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Alignment="1">
      <alignment horizontal="center" vertical="center"/>
    </xf>
    <xf numFmtId="2" fontId="38" fillId="10" borderId="2" xfId="0" applyNumberFormat="1" applyFont="1" applyFill="1" applyBorder="1" applyAlignment="1">
      <alignment horizontal="center" vertical="center"/>
    </xf>
    <xf numFmtId="2" fontId="41" fillId="10" borderId="2" xfId="0" applyNumberFormat="1" applyFont="1" applyFill="1" applyBorder="1" applyAlignment="1">
      <alignment horizontal="center" vertical="center"/>
    </xf>
    <xf numFmtId="2" fontId="42" fillId="10" borderId="2" xfId="0" applyNumberFormat="1" applyFont="1" applyFill="1" applyBorder="1" applyAlignment="1">
      <alignment horizontal="center" vertical="center"/>
    </xf>
    <xf numFmtId="2" fontId="6" fillId="3" borderId="14" xfId="0" applyNumberFormat="1" applyFont="1" applyFill="1" applyBorder="1" applyAlignment="1">
      <alignment horizontal="center" vertical="center"/>
    </xf>
    <xf numFmtId="2" fontId="6" fillId="3" borderId="2" xfId="0" applyNumberFormat="1" applyFont="1" applyFill="1" applyBorder="1" applyAlignment="1">
      <alignment horizontal="center" vertical="center"/>
    </xf>
    <xf numFmtId="2" fontId="1" fillId="2" borderId="2" xfId="0" applyNumberFormat="1" applyFont="1" applyFill="1" applyBorder="1" applyAlignment="1">
      <alignment horizontal="center" vertical="center"/>
    </xf>
    <xf numFmtId="2" fontId="7" fillId="8" borderId="4" xfId="0" applyNumberFormat="1" applyFont="1" applyFill="1" applyBorder="1" applyAlignment="1">
      <alignment horizontal="center"/>
    </xf>
    <xf numFmtId="174" fontId="5" fillId="0" borderId="4" xfId="0" applyNumberFormat="1" applyFont="1" applyFill="1" applyBorder="1" applyAlignment="1">
      <alignment horizontal="center"/>
    </xf>
    <xf numFmtId="2" fontId="38" fillId="10" borderId="4" xfId="0" applyNumberFormat="1" applyFont="1" applyFill="1" applyBorder="1" applyAlignment="1">
      <alignment horizontal="right"/>
    </xf>
    <xf numFmtId="2" fontId="41" fillId="10" borderId="4" xfId="0" applyNumberFormat="1" applyFont="1" applyFill="1" applyBorder="1"/>
    <xf numFmtId="2" fontId="42" fillId="10" borderId="4" xfId="0" applyNumberFormat="1" applyFont="1" applyFill="1" applyBorder="1"/>
    <xf numFmtId="175" fontId="1" fillId="0" borderId="0" xfId="0" applyNumberFormat="1" applyFont="1" applyAlignment="1">
      <alignment horizontal="center"/>
    </xf>
    <xf numFmtId="2" fontId="5" fillId="0" borderId="4" xfId="0" applyNumberFormat="1" applyFont="1" applyFill="1" applyBorder="1" applyAlignment="1">
      <alignment horizontal="center"/>
    </xf>
    <xf numFmtId="0" fontId="12" fillId="0" borderId="2" xfId="0" applyFont="1" applyFill="1" applyBorder="1" applyAlignment="1">
      <alignment wrapText="1"/>
    </xf>
    <xf numFmtId="0" fontId="6" fillId="0" borderId="14" xfId="0" applyFont="1" applyFill="1" applyBorder="1" applyAlignment="1" applyProtection="1">
      <alignment horizontal="left" vertical="center" wrapText="1"/>
      <protection locked="0"/>
    </xf>
    <xf numFmtId="0" fontId="11" fillId="0" borderId="2" xfId="0" applyFont="1" applyFill="1" applyBorder="1" applyAlignment="1">
      <alignment horizontal="left" vertical="center" wrapText="1"/>
    </xf>
    <xf numFmtId="0" fontId="12" fillId="0" borderId="14" xfId="0" applyFont="1" applyFill="1" applyBorder="1" applyAlignment="1">
      <alignment wrapText="1"/>
    </xf>
    <xf numFmtId="0" fontId="6" fillId="0" borderId="2" xfId="0" applyFont="1" applyFill="1" applyBorder="1" applyAlignment="1">
      <alignment horizontal="left" vertical="center" wrapText="1"/>
    </xf>
    <xf numFmtId="0" fontId="6" fillId="0" borderId="2" xfId="0" applyFont="1" applyFill="1" applyBorder="1" applyAlignment="1" applyProtection="1">
      <alignment horizontal="left" vertical="center" wrapText="1"/>
      <protection locked="0"/>
    </xf>
    <xf numFmtId="0" fontId="11" fillId="0" borderId="2" xfId="0" applyFont="1" applyFill="1" applyBorder="1" applyAlignment="1">
      <alignment horizontal="center" vertical="center" wrapText="1"/>
    </xf>
    <xf numFmtId="0" fontId="0" fillId="7" borderId="13" xfId="0" applyFill="1" applyBorder="1"/>
    <xf numFmtId="0" fontId="0" fillId="7" borderId="2" xfId="0" applyFill="1" applyBorder="1"/>
    <xf numFmtId="0" fontId="0" fillId="7" borderId="1" xfId="0" applyFill="1" applyBorder="1"/>
    <xf numFmtId="0" fontId="0" fillId="4" borderId="12" xfId="0" applyFill="1" applyBorder="1"/>
    <xf numFmtId="174" fontId="0" fillId="7" borderId="13" xfId="0" applyNumberFormat="1" applyFill="1" applyBorder="1" applyAlignment="1">
      <alignment horizontal="center" vertical="center"/>
    </xf>
    <xf numFmtId="174" fontId="0" fillId="7" borderId="2" xfId="0" applyNumberFormat="1" applyFill="1" applyBorder="1" applyAlignment="1">
      <alignment horizontal="center" vertical="center"/>
    </xf>
    <xf numFmtId="174" fontId="0" fillId="4" borderId="12" xfId="0" applyNumberFormat="1" applyFill="1" applyBorder="1" applyAlignment="1">
      <alignment horizontal="center" vertical="center"/>
    </xf>
    <xf numFmtId="2" fontId="29" fillId="2" borderId="2" xfId="0" applyNumberFormat="1" applyFont="1" applyFill="1" applyBorder="1" applyAlignment="1">
      <alignment horizontal="center" vertical="center"/>
    </xf>
    <xf numFmtId="0" fontId="6" fillId="0" borderId="2" xfId="0" applyFont="1" applyFill="1" applyBorder="1" applyAlignment="1">
      <alignment horizontal="center" vertical="top"/>
    </xf>
    <xf numFmtId="0" fontId="35" fillId="12" borderId="14" xfId="0" applyFont="1" applyFill="1" applyBorder="1" applyAlignment="1">
      <alignment horizontal="left" wrapText="1"/>
    </xf>
    <xf numFmtId="0" fontId="35" fillId="12" borderId="2" xfId="0" applyFont="1" applyFill="1" applyBorder="1" applyAlignment="1">
      <alignment horizontal="left" wrapText="1"/>
    </xf>
    <xf numFmtId="2" fontId="38" fillId="10" borderId="2" xfId="0" applyNumberFormat="1" applyFont="1" applyFill="1" applyBorder="1" applyAlignment="1">
      <alignment horizontal="center"/>
    </xf>
    <xf numFmtId="2" fontId="41" fillId="10" borderId="2" xfId="0" applyNumberFormat="1" applyFont="1" applyFill="1" applyBorder="1" applyAlignment="1">
      <alignment horizontal="center"/>
    </xf>
    <xf numFmtId="2" fontId="42" fillId="10" borderId="2" xfId="0" applyNumberFormat="1" applyFont="1" applyFill="1" applyBorder="1" applyAlignment="1">
      <alignment horizontal="center"/>
    </xf>
    <xf numFmtId="0" fontId="7" fillId="0" borderId="2" xfId="0" applyFont="1" applyFill="1" applyBorder="1" applyAlignment="1">
      <alignment horizontal="left" vertical="center"/>
    </xf>
    <xf numFmtId="2" fontId="6" fillId="0" borderId="14" xfId="0" applyNumberFormat="1" applyFont="1" applyFill="1" applyBorder="1" applyAlignment="1">
      <alignment horizontal="center"/>
    </xf>
    <xf numFmtId="0" fontId="5" fillId="0" borderId="2" xfId="0" applyFont="1" applyFill="1" applyBorder="1" applyAlignment="1">
      <alignment horizontal="center" vertical="center"/>
    </xf>
    <xf numFmtId="0" fontId="40" fillId="8" borderId="2" xfId="0" applyFont="1" applyFill="1" applyBorder="1" applyAlignment="1">
      <alignment horizontal="center"/>
    </xf>
    <xf numFmtId="0" fontId="1" fillId="2" borderId="2" xfId="0" applyFont="1" applyFill="1" applyBorder="1" applyAlignment="1">
      <alignment horizontal="center"/>
    </xf>
    <xf numFmtId="0" fontId="1" fillId="2" borderId="1" xfId="0" applyFont="1" applyFill="1" applyBorder="1" applyAlignment="1">
      <alignment horizontal="center"/>
    </xf>
    <xf numFmtId="14" fontId="6" fillId="0" borderId="2" xfId="0" applyNumberFormat="1" applyFont="1" applyFill="1" applyBorder="1" applyAlignment="1">
      <alignment horizontal="center" vertical="center"/>
    </xf>
    <xf numFmtId="0" fontId="6" fillId="0" borderId="2" xfId="0" applyFont="1" applyFill="1" applyBorder="1" applyAlignment="1">
      <alignment horizontal="center"/>
    </xf>
    <xf numFmtId="2" fontId="5" fillId="0" borderId="2" xfId="0" applyNumberFormat="1" applyFont="1" applyFill="1" applyBorder="1" applyAlignment="1">
      <alignment horizontal="center"/>
    </xf>
    <xf numFmtId="0" fontId="11" fillId="0" borderId="2" xfId="0" applyFont="1" applyFill="1" applyBorder="1" applyAlignment="1">
      <alignment horizontal="center" vertical="center"/>
    </xf>
    <xf numFmtId="14" fontId="6" fillId="0" borderId="3" xfId="0" applyNumberFormat="1" applyFont="1" applyFill="1" applyBorder="1" applyAlignment="1">
      <alignment horizontal="center" vertical="center"/>
    </xf>
    <xf numFmtId="0" fontId="12" fillId="0" borderId="3" xfId="0" applyFont="1" applyFill="1" applyBorder="1" applyAlignment="1">
      <alignment wrapText="1"/>
    </xf>
    <xf numFmtId="0" fontId="6" fillId="0" borderId="3" xfId="0" applyFont="1" applyFill="1" applyBorder="1" applyAlignment="1" applyProtection="1">
      <alignment horizontal="left" vertical="center" wrapText="1"/>
      <protection locked="0"/>
    </xf>
    <xf numFmtId="0" fontId="11" fillId="0" borderId="3" xfId="0" applyFont="1" applyFill="1" applyBorder="1" applyAlignment="1">
      <alignment horizontal="center" vertical="center" wrapText="1"/>
    </xf>
    <xf numFmtId="2" fontId="6" fillId="0" borderId="3" xfId="0" applyNumberFormat="1" applyFont="1" applyFill="1" applyBorder="1" applyAlignment="1">
      <alignment horizontal="center" vertical="center"/>
    </xf>
    <xf numFmtId="2"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174" fontId="7" fillId="0" borderId="2" xfId="0" applyNumberFormat="1" applyFont="1" applyFill="1" applyBorder="1" applyAlignment="1">
      <alignment horizontal="center" vertical="center"/>
    </xf>
    <xf numFmtId="0" fontId="42" fillId="0" borderId="2" xfId="0" applyFont="1" applyFill="1" applyBorder="1" applyAlignment="1">
      <alignment horizontal="center"/>
    </xf>
    <xf numFmtId="0" fontId="42" fillId="0" borderId="2" xfId="0" applyFont="1" applyFill="1" applyBorder="1"/>
    <xf numFmtId="0" fontId="42" fillId="0" borderId="2" xfId="0" applyFont="1" applyFill="1" applyBorder="1" applyAlignment="1">
      <alignment wrapText="1"/>
    </xf>
    <xf numFmtId="2" fontId="42" fillId="0" borderId="2" xfId="0" applyNumberFormat="1" applyFont="1" applyFill="1" applyBorder="1" applyAlignment="1">
      <alignment horizontal="right"/>
    </xf>
    <xf numFmtId="0" fontId="7" fillId="0" borderId="2" xfId="0" applyFont="1" applyFill="1" applyBorder="1" applyAlignment="1">
      <alignment horizontal="right"/>
    </xf>
    <xf numFmtId="2" fontId="7" fillId="0" borderId="2" xfId="0" applyNumberFormat="1" applyFont="1" applyFill="1" applyBorder="1" applyAlignment="1">
      <alignment horizontal="right"/>
    </xf>
    <xf numFmtId="0" fontId="7" fillId="0" borderId="2" xfId="0" applyNumberFormat="1" applyFont="1" applyFill="1" applyBorder="1" applyAlignment="1">
      <alignment horizontal="right"/>
    </xf>
    <xf numFmtId="2" fontId="42" fillId="0" borderId="2" xfId="0" applyNumberFormat="1" applyFont="1" applyFill="1" applyBorder="1"/>
    <xf numFmtId="2" fontId="42" fillId="0" borderId="2" xfId="0" applyNumberFormat="1" applyFont="1" applyFill="1" applyBorder="1" applyAlignment="1"/>
    <xf numFmtId="2" fontId="7" fillId="0" borderId="2" xfId="0" applyNumberFormat="1" applyFont="1" applyFill="1" applyBorder="1" applyAlignment="1">
      <alignment horizontal="center"/>
    </xf>
    <xf numFmtId="2" fontId="7" fillId="0" borderId="4" xfId="0" applyNumberFormat="1" applyFont="1" applyFill="1" applyBorder="1" applyAlignment="1">
      <alignment horizontal="right"/>
    </xf>
    <xf numFmtId="0" fontId="41" fillId="0" borderId="2" xfId="0" applyFont="1" applyFill="1" applyBorder="1"/>
    <xf numFmtId="2" fontId="7" fillId="0" borderId="2" xfId="0" applyNumberFormat="1" applyFont="1" applyFill="1" applyBorder="1"/>
    <xf numFmtId="0" fontId="7" fillId="0" borderId="2" xfId="0" applyFont="1" applyFill="1" applyBorder="1" applyAlignment="1">
      <alignment horizontal="right" vertical="top"/>
    </xf>
    <xf numFmtId="2" fontId="7" fillId="0" borderId="2" xfId="0" applyNumberFormat="1" applyFont="1" applyFill="1" applyBorder="1" applyAlignment="1"/>
    <xf numFmtId="0" fontId="7" fillId="0" borderId="4" xfId="0" applyFont="1" applyFill="1" applyBorder="1" applyAlignment="1">
      <alignment horizontal="right"/>
    </xf>
    <xf numFmtId="0" fontId="40" fillId="12" borderId="2" xfId="0" applyFont="1" applyFill="1" applyBorder="1" applyAlignment="1">
      <alignment horizontal="center"/>
    </xf>
    <xf numFmtId="0" fontId="40" fillId="12" borderId="2" xfId="0" applyFont="1" applyFill="1" applyBorder="1"/>
    <xf numFmtId="0" fontId="40" fillId="12" borderId="2" xfId="0" applyFont="1" applyFill="1" applyBorder="1" applyAlignment="1">
      <alignment wrapText="1"/>
    </xf>
    <xf numFmtId="2" fontId="40" fillId="12" borderId="2" xfId="0" applyNumberFormat="1" applyFont="1" applyFill="1" applyBorder="1" applyAlignment="1">
      <alignment horizontal="right"/>
    </xf>
    <xf numFmtId="2" fontId="40" fillId="12" borderId="2" xfId="0" applyNumberFormat="1" applyFont="1" applyFill="1" applyBorder="1" applyAlignment="1">
      <alignment horizontal="right" vertical="top"/>
    </xf>
    <xf numFmtId="2" fontId="40" fillId="12" borderId="2" xfId="0" applyNumberFormat="1" applyFont="1" applyFill="1" applyBorder="1"/>
    <xf numFmtId="2" fontId="40" fillId="12" borderId="2" xfId="0" applyNumberFormat="1" applyFont="1" applyFill="1" applyBorder="1" applyAlignment="1"/>
    <xf numFmtId="0" fontId="7" fillId="12" borderId="2" xfId="0" applyFont="1" applyFill="1" applyBorder="1" applyAlignment="1">
      <alignment horizontal="center"/>
    </xf>
    <xf numFmtId="0" fontId="7" fillId="12" borderId="2" xfId="0" applyFont="1" applyFill="1" applyBorder="1"/>
    <xf numFmtId="0" fontId="42" fillId="13" borderId="2" xfId="0" applyFont="1" applyFill="1" applyBorder="1" applyAlignment="1">
      <alignment horizontal="center"/>
    </xf>
    <xf numFmtId="0" fontId="42" fillId="13" borderId="2" xfId="0" applyFont="1" applyFill="1" applyBorder="1"/>
    <xf numFmtId="0" fontId="42" fillId="13" borderId="2" xfId="0" applyFont="1" applyFill="1" applyBorder="1" applyAlignment="1">
      <alignment wrapText="1"/>
    </xf>
    <xf numFmtId="0" fontId="7" fillId="13" borderId="2" xfId="0" applyFont="1" applyFill="1" applyBorder="1" applyAlignment="1">
      <alignment horizontal="right"/>
    </xf>
    <xf numFmtId="2" fontId="42" fillId="13" borderId="2" xfId="0" applyNumberFormat="1" applyFont="1" applyFill="1" applyBorder="1"/>
    <xf numFmtId="0" fontId="40" fillId="8" borderId="2" xfId="0" applyFont="1" applyFill="1" applyBorder="1" applyAlignment="1">
      <alignment wrapText="1"/>
    </xf>
    <xf numFmtId="2" fontId="40" fillId="8" borderId="2" xfId="0" applyNumberFormat="1" applyFont="1" applyFill="1" applyBorder="1"/>
    <xf numFmtId="2" fontId="40" fillId="8" borderId="2" xfId="0" applyNumberFormat="1" applyFont="1" applyFill="1" applyBorder="1" applyAlignment="1"/>
    <xf numFmtId="0" fontId="35" fillId="0" borderId="2" xfId="0" applyFont="1" applyFill="1" applyBorder="1" applyAlignment="1">
      <alignment horizontal="center" vertical="center" wrapText="1"/>
    </xf>
    <xf numFmtId="0" fontId="34" fillId="0" borderId="2" xfId="0" applyFont="1" applyFill="1" applyBorder="1" applyAlignment="1">
      <alignment horizontal="center" vertical="center"/>
    </xf>
    <xf numFmtId="0" fontId="5" fillId="0" borderId="2" xfId="57" applyFont="1" applyFill="1" applyBorder="1" applyAlignment="1">
      <alignment horizontal="center" vertical="center"/>
    </xf>
    <xf numFmtId="0" fontId="5" fillId="0" borderId="2" xfId="57" applyFont="1" applyFill="1" applyBorder="1" applyAlignment="1">
      <alignment horizontal="center" vertical="center" wrapText="1"/>
    </xf>
    <xf numFmtId="167" fontId="5" fillId="0" borderId="2" xfId="64" applyNumberFormat="1" applyFont="1" applyFill="1" applyBorder="1" applyAlignment="1">
      <alignment horizontal="left" vertical="center" wrapText="1"/>
    </xf>
    <xf numFmtId="0" fontId="7" fillId="0" borderId="0" xfId="0" applyFont="1" applyFill="1" applyAlignment="1">
      <alignment horizontal="left" vertical="center"/>
    </xf>
    <xf numFmtId="0" fontId="7" fillId="0" borderId="0" xfId="0" applyFont="1" applyFill="1" applyAlignment="1">
      <alignment horizontal="left"/>
    </xf>
    <xf numFmtId="167" fontId="35" fillId="0" borderId="0" xfId="57" applyNumberFormat="1" applyFont="1" applyFill="1" applyBorder="1" applyAlignment="1">
      <alignment horizontal="left" vertical="center" wrapText="1"/>
    </xf>
    <xf numFmtId="167" fontId="5" fillId="11" borderId="2" xfId="64" applyNumberFormat="1" applyFont="1" applyFill="1" applyBorder="1" applyAlignment="1">
      <alignment horizontal="left" vertical="center" wrapText="1"/>
    </xf>
    <xf numFmtId="167" fontId="5" fillId="11" borderId="1" xfId="64" applyNumberFormat="1" applyFont="1" applyFill="1" applyBorder="1" applyAlignment="1">
      <alignment horizontal="left" vertical="center" wrapText="1"/>
    </xf>
    <xf numFmtId="167" fontId="5" fillId="0" borderId="1" xfId="64" applyNumberFormat="1" applyFont="1" applyFill="1" applyBorder="1" applyAlignment="1">
      <alignment horizontal="left" vertical="center" wrapText="1"/>
    </xf>
    <xf numFmtId="0" fontId="5" fillId="0" borderId="2" xfId="64" applyFont="1" applyFill="1" applyBorder="1" applyAlignment="1">
      <alignment horizontal="left" vertical="center"/>
    </xf>
    <xf numFmtId="0" fontId="7" fillId="0" borderId="2" xfId="0" applyFont="1" applyFill="1" applyBorder="1" applyAlignment="1">
      <alignment horizontal="left"/>
    </xf>
    <xf numFmtId="167" fontId="7" fillId="0" borderId="2" xfId="64" applyNumberFormat="1" applyFont="1" applyFill="1" applyBorder="1" applyAlignment="1">
      <alignment horizontal="left" vertical="center" wrapText="1"/>
    </xf>
    <xf numFmtId="0" fontId="7" fillId="9" borderId="2" xfId="0" applyFont="1" applyFill="1" applyBorder="1" applyAlignment="1">
      <alignment horizontal="left" vertical="center"/>
    </xf>
    <xf numFmtId="0" fontId="7" fillId="9" borderId="2" xfId="0" applyFont="1" applyFill="1" applyBorder="1" applyAlignment="1">
      <alignment horizontal="left"/>
    </xf>
    <xf numFmtId="0" fontId="7" fillId="0" borderId="5" xfId="0" applyFont="1" applyFill="1" applyBorder="1" applyAlignment="1">
      <alignment horizontal="left"/>
    </xf>
    <xf numFmtId="0" fontId="7" fillId="9" borderId="5" xfId="0" applyFont="1" applyFill="1" applyBorder="1" applyAlignment="1">
      <alignment horizontal="left"/>
    </xf>
    <xf numFmtId="0" fontId="7" fillId="0" borderId="0" xfId="0" applyFont="1" applyFill="1" applyBorder="1" applyAlignment="1">
      <alignment horizontal="left" vertical="center"/>
    </xf>
    <xf numFmtId="167" fontId="5" fillId="11" borderId="0" xfId="64" applyNumberFormat="1" applyFont="1" applyFill="1" applyBorder="1" applyAlignment="1">
      <alignment horizontal="left" vertical="center" wrapText="1"/>
    </xf>
    <xf numFmtId="167" fontId="5" fillId="0" borderId="0" xfId="64" applyNumberFormat="1" applyFont="1" applyFill="1" applyBorder="1" applyAlignment="1">
      <alignment horizontal="left" vertical="center" wrapText="1"/>
    </xf>
    <xf numFmtId="0" fontId="7" fillId="9" borderId="0" xfId="0" applyFont="1" applyFill="1" applyBorder="1" applyAlignment="1">
      <alignment horizontal="left" vertical="center"/>
    </xf>
    <xf numFmtId="0" fontId="5" fillId="0" borderId="3" xfId="57" applyFont="1" applyFill="1" applyBorder="1" applyAlignment="1">
      <alignment horizontal="center" vertical="center"/>
    </xf>
    <xf numFmtId="0" fontId="5" fillId="0" borderId="3" xfId="57" applyFont="1" applyFill="1" applyBorder="1" applyAlignment="1">
      <alignment horizontal="center" vertical="center" wrapText="1"/>
    </xf>
    <xf numFmtId="0" fontId="34" fillId="0" borderId="3" xfId="0" applyFont="1" applyFill="1" applyBorder="1" applyAlignment="1">
      <alignment horizontal="center" vertical="center"/>
    </xf>
    <xf numFmtId="0" fontId="6" fillId="0" borderId="3" xfId="0" applyFont="1" applyFill="1" applyBorder="1" applyAlignment="1">
      <alignment horizontal="left" vertical="center" wrapText="1"/>
    </xf>
    <xf numFmtId="0" fontId="35" fillId="0" borderId="3" xfId="0" applyFont="1" applyFill="1" applyBorder="1" applyAlignment="1">
      <alignment horizontal="center" vertical="center" wrapText="1"/>
    </xf>
    <xf numFmtId="2" fontId="6" fillId="0" borderId="2" xfId="0" applyNumberFormat="1" applyFont="1" applyBorder="1" applyAlignment="1">
      <alignment horizontal="center"/>
    </xf>
    <xf numFmtId="2" fontId="6" fillId="0" borderId="3" xfId="0" applyNumberFormat="1" applyFont="1" applyFill="1" applyBorder="1" applyAlignment="1">
      <alignment horizontal="center"/>
    </xf>
    <xf numFmtId="174" fontId="6" fillId="0" borderId="2" xfId="0" applyNumberFormat="1" applyFont="1" applyFill="1" applyBorder="1" applyAlignment="1">
      <alignment horizontal="center" vertical="center"/>
    </xf>
    <xf numFmtId="2" fontId="6" fillId="0" borderId="2" xfId="0" applyNumberFormat="1" applyFont="1" applyFill="1" applyBorder="1" applyAlignment="1">
      <alignment horizontal="center"/>
    </xf>
    <xf numFmtId="2" fontId="11" fillId="0" borderId="2" xfId="0" applyNumberFormat="1" applyFont="1" applyFill="1" applyBorder="1" applyAlignment="1">
      <alignment horizontal="center"/>
    </xf>
    <xf numFmtId="167" fontId="34" fillId="12" borderId="2" xfId="0" applyNumberFormat="1" applyFont="1" applyFill="1" applyBorder="1" applyAlignment="1">
      <alignment horizontal="center" vertical="center"/>
    </xf>
    <xf numFmtId="0" fontId="6" fillId="12" borderId="2" xfId="0" applyFont="1" applyFill="1" applyBorder="1" applyAlignment="1">
      <alignment horizontal="center" vertical="center"/>
    </xf>
    <xf numFmtId="0" fontId="5" fillId="12" borderId="2" xfId="57" applyFont="1" applyFill="1" applyBorder="1" applyAlignment="1">
      <alignment horizontal="center" vertical="center"/>
    </xf>
    <xf numFmtId="0" fontId="5" fillId="12" borderId="2" xfId="57" applyFont="1" applyFill="1" applyBorder="1" applyAlignment="1">
      <alignment horizontal="center" vertical="center" wrapText="1"/>
    </xf>
    <xf numFmtId="0" fontId="8" fillId="12" borderId="2" xfId="0" applyFont="1" applyFill="1" applyBorder="1" applyAlignment="1">
      <alignment horizontal="center" vertical="center"/>
    </xf>
    <xf numFmtId="0" fontId="35" fillId="12" borderId="2" xfId="0" applyFont="1" applyFill="1" applyBorder="1" applyAlignment="1">
      <alignment horizontal="center" wrapText="1"/>
    </xf>
    <xf numFmtId="0" fontId="35" fillId="12" borderId="2" xfId="0" applyFont="1" applyFill="1" applyBorder="1" applyAlignment="1">
      <alignment horizontal="center"/>
    </xf>
    <xf numFmtId="0" fontId="34" fillId="12" borderId="2" xfId="0" applyFont="1" applyFill="1" applyBorder="1" applyAlignment="1">
      <alignment horizontal="center" vertical="center"/>
    </xf>
    <xf numFmtId="0" fontId="35" fillId="12" borderId="2" xfId="0" applyFont="1" applyFill="1" applyBorder="1" applyAlignment="1">
      <alignment horizontal="center" vertical="center" wrapText="1"/>
    </xf>
    <xf numFmtId="2" fontId="34" fillId="12" borderId="2" xfId="0" applyNumberFormat="1" applyFont="1" applyFill="1" applyBorder="1" applyAlignment="1">
      <alignment horizontal="center"/>
    </xf>
    <xf numFmtId="167" fontId="34" fillId="12" borderId="14" xfId="0" applyNumberFormat="1" applyFont="1" applyFill="1" applyBorder="1" applyAlignment="1">
      <alignment horizontal="center" vertical="center"/>
    </xf>
    <xf numFmtId="0" fontId="6" fillId="12" borderId="14" xfId="0" applyFont="1" applyFill="1" applyBorder="1" applyAlignment="1">
      <alignment horizontal="center" vertical="center"/>
    </xf>
    <xf numFmtId="0" fontId="5" fillId="12" borderId="14" xfId="57" applyFont="1" applyFill="1" applyBorder="1" applyAlignment="1">
      <alignment horizontal="center" vertical="center"/>
    </xf>
    <xf numFmtId="0" fontId="5" fillId="12" borderId="14" xfId="57" applyFont="1" applyFill="1" applyBorder="1" applyAlignment="1">
      <alignment horizontal="center" vertical="center" wrapText="1"/>
    </xf>
    <xf numFmtId="0" fontId="8" fillId="12" borderId="14" xfId="0" applyFont="1" applyFill="1" applyBorder="1" applyAlignment="1">
      <alignment horizontal="center" vertical="center"/>
    </xf>
    <xf numFmtId="0" fontId="35" fillId="12" borderId="14" xfId="0" applyFont="1" applyFill="1" applyBorder="1" applyAlignment="1">
      <alignment horizontal="center" wrapText="1"/>
    </xf>
    <xf numFmtId="0" fontId="35" fillId="12" borderId="14" xfId="0" applyFont="1" applyFill="1" applyBorder="1" applyAlignment="1">
      <alignment horizontal="center"/>
    </xf>
    <xf numFmtId="0" fontId="34" fillId="12" borderId="14" xfId="0" applyFont="1" applyFill="1" applyBorder="1" applyAlignment="1">
      <alignment horizontal="center" vertical="center"/>
    </xf>
    <xf numFmtId="0" fontId="35" fillId="12" borderId="14" xfId="0" applyFont="1" applyFill="1" applyBorder="1" applyAlignment="1">
      <alignment horizontal="center" vertical="center" wrapText="1"/>
    </xf>
    <xf numFmtId="2" fontId="34" fillId="12" borderId="14" xfId="0" applyNumberFormat="1" applyFont="1" applyFill="1" applyBorder="1" applyAlignment="1">
      <alignment horizontal="center"/>
    </xf>
    <xf numFmtId="2" fontId="6" fillId="7" borderId="32" xfId="0" applyNumberFormat="1" applyFont="1" applyFill="1" applyBorder="1" applyAlignment="1">
      <alignment horizontal="center"/>
    </xf>
    <xf numFmtId="0" fontId="6" fillId="9" borderId="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4" xfId="0" applyFont="1" applyFill="1" applyBorder="1" applyAlignment="1">
      <alignment horizontal="left" vertical="center" wrapText="1"/>
    </xf>
    <xf numFmtId="49" fontId="6" fillId="0" borderId="2" xfId="0" applyNumberFormat="1" applyFont="1" applyFill="1" applyBorder="1" applyAlignment="1">
      <alignment horizontal="left" vertical="top" wrapText="1"/>
    </xf>
    <xf numFmtId="49" fontId="1" fillId="0" borderId="2" xfId="0" applyNumberFormat="1" applyFont="1" applyFill="1" applyBorder="1" applyAlignment="1">
      <alignment horizontal="left" vertical="top" wrapText="1"/>
    </xf>
    <xf numFmtId="49" fontId="8" fillId="12" borderId="14" xfId="0" applyNumberFormat="1" applyFont="1" applyFill="1" applyBorder="1" applyAlignment="1">
      <alignment horizontal="center" vertical="top" wrapText="1"/>
    </xf>
    <xf numFmtId="49" fontId="8" fillId="12" borderId="2" xfId="0" applyNumberFormat="1" applyFont="1" applyFill="1" applyBorder="1" applyAlignment="1">
      <alignment horizontal="center" vertical="top" wrapText="1"/>
    </xf>
    <xf numFmtId="49" fontId="1" fillId="0" borderId="0" xfId="0" applyNumberFormat="1" applyFont="1" applyAlignment="1">
      <alignment horizontal="left" vertical="top" wrapText="1"/>
    </xf>
    <xf numFmtId="49" fontId="1" fillId="2" borderId="0" xfId="0" applyNumberFormat="1" applyFont="1" applyFill="1" applyBorder="1" applyAlignment="1">
      <alignment horizontal="left" vertical="top" wrapText="1"/>
    </xf>
    <xf numFmtId="49" fontId="7" fillId="8" borderId="2" xfId="0" applyNumberFormat="1" applyFont="1" applyFill="1" applyBorder="1" applyAlignment="1">
      <alignment horizontal="left" vertical="top" wrapText="1"/>
    </xf>
    <xf numFmtId="49" fontId="7" fillId="0" borderId="2" xfId="0" applyNumberFormat="1" applyFont="1" applyFill="1" applyBorder="1" applyAlignment="1">
      <alignment horizontal="left" vertical="top" wrapText="1"/>
    </xf>
    <xf numFmtId="49" fontId="7" fillId="3" borderId="2" xfId="0" applyNumberFormat="1" applyFont="1" applyFill="1" applyBorder="1" applyAlignment="1">
      <alignment horizontal="left" vertical="top" wrapText="1"/>
    </xf>
    <xf numFmtId="49" fontId="40" fillId="8" borderId="2" xfId="0" applyNumberFormat="1" applyFont="1" applyFill="1" applyBorder="1" applyAlignment="1">
      <alignment horizontal="left" vertical="top" wrapText="1"/>
    </xf>
    <xf numFmtId="49" fontId="42" fillId="0" borderId="2" xfId="0" applyNumberFormat="1" applyFont="1" applyFill="1" applyBorder="1" applyAlignment="1">
      <alignment horizontal="left" vertical="top" wrapText="1"/>
    </xf>
    <xf numFmtId="49" fontId="41" fillId="8" borderId="2" xfId="0" applyNumberFormat="1" applyFont="1" applyFill="1" applyBorder="1" applyAlignment="1">
      <alignment horizontal="left" vertical="top" wrapText="1"/>
    </xf>
    <xf numFmtId="49" fontId="40" fillId="12" borderId="2" xfId="0" applyNumberFormat="1" applyFont="1" applyFill="1" applyBorder="1" applyAlignment="1">
      <alignment horizontal="left" vertical="top" wrapText="1"/>
    </xf>
    <xf numFmtId="49" fontId="42" fillId="8" borderId="2" xfId="0" applyNumberFormat="1" applyFont="1" applyFill="1" applyBorder="1" applyAlignment="1">
      <alignment horizontal="left" vertical="top" wrapText="1"/>
    </xf>
    <xf numFmtId="49" fontId="42" fillId="13" borderId="2" xfId="0" applyNumberFormat="1" applyFont="1" applyFill="1" applyBorder="1" applyAlignment="1">
      <alignment horizontal="left" vertical="top" wrapText="1"/>
    </xf>
    <xf numFmtId="49" fontId="6" fillId="2" borderId="2" xfId="0" applyNumberFormat="1" applyFont="1" applyFill="1" applyBorder="1" applyAlignment="1">
      <alignment horizontal="left" vertical="top" wrapText="1"/>
    </xf>
    <xf numFmtId="49" fontId="6" fillId="2" borderId="1" xfId="0" applyNumberFormat="1" applyFont="1" applyFill="1" applyBorder="1" applyAlignment="1">
      <alignment horizontal="left" vertical="top" wrapText="1"/>
    </xf>
    <xf numFmtId="49" fontId="6" fillId="7" borderId="18" xfId="0" applyNumberFormat="1" applyFont="1" applyFill="1" applyBorder="1" applyAlignment="1">
      <alignment horizontal="left" vertical="top" wrapText="1"/>
    </xf>
    <xf numFmtId="49" fontId="6" fillId="0" borderId="3" xfId="0" applyNumberFormat="1" applyFont="1" applyFill="1" applyBorder="1" applyAlignment="1">
      <alignment horizontal="left" vertical="top" wrapText="1"/>
    </xf>
    <xf numFmtId="49" fontId="6" fillId="0" borderId="2" xfId="0" applyNumberFormat="1" applyFont="1" applyBorder="1" applyAlignment="1">
      <alignment horizontal="left" vertical="top" wrapText="1"/>
    </xf>
    <xf numFmtId="49" fontId="32" fillId="7" borderId="23" xfId="0" applyNumberFormat="1" applyFont="1" applyFill="1" applyBorder="1" applyAlignment="1">
      <alignment horizontal="left" vertical="top" wrapText="1"/>
    </xf>
    <xf numFmtId="49" fontId="9" fillId="0" borderId="14" xfId="0" applyNumberFormat="1" applyFont="1" applyFill="1" applyBorder="1" applyAlignment="1">
      <alignment horizontal="left" vertical="top" wrapText="1"/>
    </xf>
    <xf numFmtId="49" fontId="9" fillId="0" borderId="2" xfId="0" applyNumberFormat="1" applyFont="1" applyFill="1" applyBorder="1" applyAlignment="1">
      <alignment horizontal="left" vertical="top" wrapText="1"/>
    </xf>
    <xf numFmtId="49" fontId="6" fillId="0" borderId="0" xfId="0" applyNumberFormat="1" applyFont="1" applyBorder="1" applyAlignment="1">
      <alignment horizontal="left" vertical="top" wrapText="1"/>
    </xf>
    <xf numFmtId="49" fontId="5" fillId="0" borderId="0" xfId="0" applyNumberFormat="1" applyFont="1" applyAlignment="1">
      <alignment horizontal="left" vertical="top" wrapText="1"/>
    </xf>
    <xf numFmtId="49" fontId="8" fillId="14" borderId="14" xfId="0" applyNumberFormat="1" applyFont="1" applyFill="1" applyBorder="1" applyAlignment="1">
      <alignment horizontal="center" vertical="top" wrapText="1"/>
    </xf>
    <xf numFmtId="2" fontId="35" fillId="12" borderId="2" xfId="0" applyNumberFormat="1" applyFont="1" applyFill="1" applyBorder="1" applyAlignment="1">
      <alignment horizontal="center"/>
    </xf>
    <xf numFmtId="2" fontId="11" fillId="0" borderId="2" xfId="0" applyNumberFormat="1" applyFont="1" applyFill="1" applyBorder="1" applyAlignment="1">
      <alignment horizontal="center" vertical="center"/>
    </xf>
    <xf numFmtId="2" fontId="35" fillId="12" borderId="2" xfId="0" applyNumberFormat="1" applyFont="1" applyFill="1" applyBorder="1" applyAlignment="1">
      <alignment horizontal="center" vertical="center" wrapText="1"/>
    </xf>
    <xf numFmtId="2" fontId="35" fillId="0" borderId="2" xfId="0" applyNumberFormat="1" applyFont="1" applyFill="1" applyBorder="1" applyAlignment="1">
      <alignment horizontal="center" vertical="center" wrapText="1"/>
    </xf>
    <xf numFmtId="2" fontId="35" fillId="0" borderId="3" xfId="0" applyNumberFormat="1" applyFont="1" applyFill="1" applyBorder="1" applyAlignment="1">
      <alignment horizontal="center" vertical="center" wrapText="1"/>
    </xf>
    <xf numFmtId="2" fontId="35" fillId="12" borderId="14" xfId="0" applyNumberFormat="1" applyFont="1" applyFill="1" applyBorder="1" applyAlignment="1">
      <alignment horizontal="center" vertical="center" wrapText="1"/>
    </xf>
    <xf numFmtId="2" fontId="11" fillId="9" borderId="2" xfId="0" applyNumberFormat="1" applyFont="1" applyFill="1" applyBorder="1" applyAlignment="1">
      <alignment horizontal="center" vertical="center"/>
    </xf>
    <xf numFmtId="2" fontId="35" fillId="12" borderId="14" xfId="0" applyNumberFormat="1" applyFont="1" applyFill="1" applyBorder="1" applyAlignment="1">
      <alignment horizontal="center"/>
    </xf>
    <xf numFmtId="2" fontId="6" fillId="9" borderId="2" xfId="0" applyNumberFormat="1" applyFont="1" applyFill="1" applyBorder="1" applyAlignment="1">
      <alignment horizontal="center" vertical="center"/>
    </xf>
    <xf numFmtId="14" fontId="6" fillId="15" borderId="0" xfId="0" applyNumberFormat="1" applyFont="1" applyFill="1" applyBorder="1" applyAlignment="1">
      <alignment horizontal="center" vertical="center"/>
    </xf>
    <xf numFmtId="0" fontId="6" fillId="15" borderId="0" xfId="0" applyFont="1" applyFill="1" applyBorder="1" applyAlignment="1">
      <alignment horizontal="center" vertical="center"/>
    </xf>
    <xf numFmtId="0" fontId="5" fillId="15" borderId="0" xfId="57" applyFont="1" applyFill="1" applyBorder="1" applyAlignment="1">
      <alignment horizontal="center" vertical="center"/>
    </xf>
    <xf numFmtId="0" fontId="5" fillId="15" borderId="0" xfId="57" applyFont="1" applyFill="1" applyBorder="1" applyAlignment="1">
      <alignment horizontal="center" vertical="center" wrapText="1"/>
    </xf>
    <xf numFmtId="0" fontId="12" fillId="15" borderId="0" xfId="0" applyFont="1" applyFill="1" applyBorder="1" applyAlignment="1">
      <alignment wrapText="1"/>
    </xf>
    <xf numFmtId="49" fontId="6" fillId="15" borderId="0" xfId="0" applyNumberFormat="1" applyFont="1" applyFill="1" applyBorder="1" applyAlignment="1">
      <alignment horizontal="left" vertical="top" wrapText="1"/>
    </xf>
    <xf numFmtId="0" fontId="6" fillId="15" borderId="0" xfId="0" applyFont="1" applyFill="1" applyBorder="1" applyAlignment="1" applyProtection="1">
      <alignment horizontal="left" vertical="center" wrapText="1"/>
      <protection locked="0"/>
    </xf>
    <xf numFmtId="0" fontId="11" fillId="15" borderId="0" xfId="0" applyFont="1" applyFill="1" applyBorder="1" applyAlignment="1">
      <alignment horizontal="center" vertical="center" wrapText="1"/>
    </xf>
    <xf numFmtId="0" fontId="34" fillId="15" borderId="0" xfId="0" applyFont="1" applyFill="1" applyBorder="1" applyAlignment="1">
      <alignment horizontal="center" vertical="center"/>
    </xf>
    <xf numFmtId="0" fontId="6" fillId="15" borderId="0" xfId="0" applyFont="1" applyFill="1" applyBorder="1" applyAlignment="1">
      <alignment horizontal="left" vertical="center" wrapText="1"/>
    </xf>
    <xf numFmtId="2" fontId="6" fillId="15" borderId="0" xfId="0" applyNumberFormat="1" applyFont="1" applyFill="1" applyBorder="1" applyAlignment="1">
      <alignment horizontal="center" vertical="center"/>
    </xf>
    <xf numFmtId="174" fontId="6" fillId="15" borderId="0" xfId="0" applyNumberFormat="1" applyFont="1" applyFill="1" applyBorder="1" applyAlignment="1">
      <alignment horizontal="center" vertical="center"/>
    </xf>
    <xf numFmtId="0" fontId="35" fillId="15" borderId="0" xfId="0" applyFont="1" applyFill="1" applyBorder="1" applyAlignment="1">
      <alignment horizontal="center" vertical="center" wrapText="1"/>
    </xf>
    <xf numFmtId="2" fontId="6" fillId="15" borderId="0" xfId="0" applyNumberFormat="1" applyFont="1" applyFill="1" applyBorder="1" applyAlignment="1">
      <alignment horizontal="center"/>
    </xf>
    <xf numFmtId="2" fontId="6" fillId="7" borderId="32" xfId="0" applyNumberFormat="1" applyFont="1" applyFill="1" applyBorder="1" applyAlignment="1">
      <alignment horizontal="center" vertical="center"/>
    </xf>
    <xf numFmtId="2" fontId="6" fillId="7" borderId="20" xfId="0" applyNumberFormat="1" applyFont="1" applyFill="1" applyBorder="1" applyAlignment="1">
      <alignment horizontal="center" vertical="center"/>
    </xf>
    <xf numFmtId="14" fontId="6" fillId="3" borderId="0" xfId="0" applyNumberFormat="1" applyFont="1" applyFill="1" applyBorder="1" applyAlignment="1">
      <alignment horizontal="center" vertical="center"/>
    </xf>
    <xf numFmtId="0" fontId="5" fillId="3" borderId="0" xfId="0" applyFont="1" applyFill="1" applyBorder="1" applyAlignment="1">
      <alignment horizontal="center"/>
    </xf>
    <xf numFmtId="0" fontId="12" fillId="3" borderId="0" xfId="0" applyFont="1" applyFill="1" applyBorder="1" applyAlignment="1">
      <alignment wrapText="1"/>
    </xf>
    <xf numFmtId="49" fontId="6" fillId="3" borderId="0" xfId="0" applyNumberFormat="1" applyFont="1" applyFill="1" applyBorder="1" applyAlignment="1">
      <alignment horizontal="left" vertical="top" wrapText="1"/>
    </xf>
    <xf numFmtId="0" fontId="6" fillId="3" borderId="0" xfId="0" applyFont="1" applyFill="1" applyBorder="1" applyAlignment="1" applyProtection="1">
      <alignment horizontal="left" vertical="center" wrapText="1"/>
      <protection locked="0"/>
    </xf>
    <xf numFmtId="0" fontId="11" fillId="3" borderId="0" xfId="0" applyFont="1" applyFill="1" applyBorder="1" applyAlignment="1">
      <alignment horizontal="left" vertical="center" wrapText="1"/>
    </xf>
    <xf numFmtId="0" fontId="11" fillId="3" borderId="0" xfId="0" applyFont="1" applyFill="1" applyBorder="1" applyAlignment="1">
      <alignment horizontal="center" vertical="center"/>
    </xf>
    <xf numFmtId="0" fontId="11" fillId="3" borderId="0" xfId="0" applyFont="1" applyFill="1" applyBorder="1" applyAlignment="1">
      <alignment horizontal="left" vertical="center"/>
    </xf>
    <xf numFmtId="174" fontId="6" fillId="3" borderId="0" xfId="0" applyNumberFormat="1" applyFont="1" applyFill="1" applyBorder="1" applyAlignment="1">
      <alignment horizontal="center" vertical="center"/>
    </xf>
    <xf numFmtId="0" fontId="5" fillId="3" borderId="0" xfId="0" applyFont="1" applyFill="1" applyBorder="1" applyAlignment="1">
      <alignment horizontal="center" vertical="center"/>
    </xf>
    <xf numFmtId="2" fontId="6" fillId="3" borderId="0" xfId="0" applyNumberFormat="1" applyFont="1" applyFill="1" applyBorder="1" applyAlignment="1">
      <alignment horizontal="center"/>
    </xf>
    <xf numFmtId="0" fontId="6" fillId="15" borderId="2" xfId="0" applyFont="1" applyFill="1" applyBorder="1" applyAlignment="1">
      <alignment horizontal="center" vertical="center"/>
    </xf>
    <xf numFmtId="0" fontId="6" fillId="15" borderId="0" xfId="0" applyFont="1" applyFill="1" applyBorder="1" applyAlignment="1">
      <alignment horizontal="center"/>
    </xf>
    <xf numFmtId="0" fontId="6" fillId="15" borderId="0" xfId="1" applyFont="1" applyFill="1" applyBorder="1" applyAlignment="1">
      <alignment horizontal="center"/>
    </xf>
    <xf numFmtId="0" fontId="6" fillId="15" borderId="0" xfId="0" applyFont="1" applyFill="1" applyBorder="1" applyAlignment="1">
      <alignment horizontal="center" vertical="center" wrapText="1"/>
    </xf>
    <xf numFmtId="0" fontId="6" fillId="15" borderId="0" xfId="0" applyFont="1" applyFill="1" applyBorder="1"/>
    <xf numFmtId="0" fontId="6" fillId="15" borderId="0" xfId="0" applyFont="1" applyFill="1" applyBorder="1" applyAlignment="1">
      <alignment horizontal="left" vertical="center"/>
    </xf>
    <xf numFmtId="1" fontId="6" fillId="15" borderId="0" xfId="0" applyNumberFormat="1" applyFont="1" applyFill="1" applyBorder="1" applyAlignment="1">
      <alignment horizontal="center" vertical="center"/>
    </xf>
    <xf numFmtId="0" fontId="1" fillId="15" borderId="0" xfId="0" applyFont="1" applyFill="1" applyBorder="1" applyAlignment="1">
      <alignment horizontal="left" vertical="center" wrapText="1"/>
    </xf>
    <xf numFmtId="0" fontId="5" fillId="15" borderId="0" xfId="0" applyFont="1" applyFill="1" applyBorder="1" applyAlignment="1">
      <alignment horizontal="center" vertical="center"/>
    </xf>
    <xf numFmtId="2" fontId="5" fillId="15" borderId="0" xfId="0" applyNumberFormat="1" applyFont="1" applyFill="1" applyBorder="1" applyAlignment="1">
      <alignment horizontal="center"/>
    </xf>
    <xf numFmtId="2" fontId="11" fillId="0" borderId="14" xfId="0" applyNumberFormat="1" applyFont="1" applyFill="1" applyBorder="1" applyAlignment="1">
      <alignment horizontal="center"/>
    </xf>
    <xf numFmtId="2" fontId="6" fillId="0" borderId="14" xfId="0" applyNumberFormat="1" applyFont="1" applyFill="1" applyBorder="1" applyAlignment="1">
      <alignment horizontal="center" vertical="center"/>
    </xf>
    <xf numFmtId="0" fontId="6" fillId="0" borderId="14" xfId="0" applyFont="1" applyFill="1" applyBorder="1" applyAlignment="1">
      <alignment horizontal="center" vertical="center"/>
    </xf>
    <xf numFmtId="49" fontId="1" fillId="0" borderId="14" xfId="0" applyNumberFormat="1" applyFont="1" applyFill="1" applyBorder="1" applyAlignment="1">
      <alignment horizontal="left" vertical="top" wrapText="1"/>
    </xf>
    <xf numFmtId="0" fontId="34" fillId="0" borderId="14" xfId="0" applyFont="1" applyFill="1" applyBorder="1" applyAlignment="1">
      <alignment horizontal="center" vertical="center"/>
    </xf>
    <xf numFmtId="2" fontId="11" fillId="0" borderId="14" xfId="0" applyNumberFormat="1" applyFont="1" applyFill="1" applyBorder="1" applyAlignment="1">
      <alignment horizontal="center" vertical="center"/>
    </xf>
    <xf numFmtId="2" fontId="35" fillId="0" borderId="14"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shrinkToFit="1"/>
    </xf>
    <xf numFmtId="0" fontId="1" fillId="2" borderId="3" xfId="0" applyFont="1" applyFill="1" applyBorder="1" applyAlignment="1">
      <alignment horizontal="center" vertical="center" wrapText="1" shrinkToFit="1"/>
    </xf>
    <xf numFmtId="2" fontId="1" fillId="2" borderId="1" xfId="0" applyNumberFormat="1" applyFont="1" applyFill="1" applyBorder="1" applyAlignment="1">
      <alignment horizontal="center" vertical="center" wrapText="1"/>
    </xf>
    <xf numFmtId="2" fontId="1" fillId="2" borderId="3" xfId="0" applyNumberFormat="1" applyFont="1" applyFill="1" applyBorder="1" applyAlignment="1">
      <alignment horizontal="center" vertical="center" wrapText="1"/>
    </xf>
    <xf numFmtId="49" fontId="1" fillId="2" borderId="3" xfId="0" applyNumberFormat="1" applyFont="1" applyFill="1" applyBorder="1" applyAlignment="1">
      <alignment horizontal="left" vertical="top" wrapText="1" shrinkToFit="1"/>
    </xf>
    <xf numFmtId="0" fontId="1" fillId="3" borderId="2" xfId="0" applyFont="1" applyFill="1" applyBorder="1" applyAlignment="1">
      <alignment horizontal="center" vertical="center" wrapText="1"/>
    </xf>
    <xf numFmtId="0" fontId="1" fillId="0" borderId="3" xfId="0" applyFont="1" applyBorder="1" applyAlignment="1">
      <alignment horizontal="center" vertical="center" wrapText="1"/>
    </xf>
    <xf numFmtId="2" fontId="1" fillId="2" borderId="1" xfId="0" applyNumberFormat="1" applyFont="1" applyFill="1" applyBorder="1" applyAlignment="1">
      <alignment horizontal="center" vertical="center"/>
    </xf>
    <xf numFmtId="2" fontId="1" fillId="2" borderId="3" xfId="0" applyNumberFormat="1" applyFont="1" applyFill="1" applyBorder="1" applyAlignment="1">
      <alignment horizontal="center" vertical="center"/>
    </xf>
    <xf numFmtId="2" fontId="6" fillId="0" borderId="14" xfId="0" applyNumberFormat="1" applyFont="1" applyBorder="1" applyAlignment="1">
      <alignment horizontal="center"/>
    </xf>
    <xf numFmtId="0" fontId="6" fillId="0" borderId="3" xfId="0" applyFont="1" applyFill="1" applyBorder="1" applyAlignment="1">
      <alignment horizontal="center" vertical="center"/>
    </xf>
    <xf numFmtId="0" fontId="6" fillId="12" borderId="2" xfId="0" applyFont="1" applyFill="1" applyBorder="1" applyAlignment="1" applyProtection="1">
      <alignment horizontal="left" vertical="center" wrapText="1"/>
      <protection locked="0"/>
    </xf>
    <xf numFmtId="0" fontId="34" fillId="12" borderId="2" xfId="1" applyFont="1" applyFill="1" applyBorder="1" applyAlignment="1">
      <alignment horizontal="center" vertical="center"/>
    </xf>
    <xf numFmtId="0" fontId="39" fillId="12" borderId="2" xfId="0" applyFont="1" applyFill="1" applyBorder="1" applyAlignment="1">
      <alignment horizontal="center" vertical="center" wrapText="1"/>
    </xf>
    <xf numFmtId="49" fontId="8" fillId="12" borderId="2" xfId="0" applyNumberFormat="1" applyFont="1" applyFill="1" applyBorder="1" applyAlignment="1">
      <alignment horizontal="left" vertical="top" wrapText="1"/>
    </xf>
    <xf numFmtId="0" fontId="37" fillId="12" borderId="2" xfId="0" applyFont="1" applyFill="1" applyBorder="1" applyAlignment="1">
      <alignment horizontal="center" wrapText="1"/>
    </xf>
    <xf numFmtId="0" fontId="6" fillId="12" borderId="2" xfId="0" applyFont="1" applyFill="1" applyBorder="1" applyAlignment="1">
      <alignment horizontal="center"/>
    </xf>
    <xf numFmtId="2" fontId="6" fillId="12" borderId="2" xfId="0" applyNumberFormat="1" applyFont="1" applyFill="1" applyBorder="1" applyAlignment="1">
      <alignment horizontal="center"/>
    </xf>
    <xf numFmtId="0" fontId="34" fillId="12" borderId="14" xfId="1" applyFont="1" applyFill="1" applyBorder="1" applyAlignment="1">
      <alignment horizontal="center" vertical="center"/>
    </xf>
    <xf numFmtId="0" fontId="39" fillId="12" borderId="14" xfId="0" applyFont="1" applyFill="1" applyBorder="1" applyAlignment="1">
      <alignment horizontal="center" vertical="center" wrapText="1"/>
    </xf>
    <xf numFmtId="49" fontId="8" fillId="12" borderId="14" xfId="0" applyNumberFormat="1" applyFont="1" applyFill="1" applyBorder="1" applyAlignment="1">
      <alignment horizontal="left" vertical="top" wrapText="1"/>
    </xf>
    <xf numFmtId="0" fontId="6" fillId="12" borderId="14" xfId="0" applyFont="1" applyFill="1" applyBorder="1" applyAlignment="1" applyProtection="1">
      <alignment horizontal="left" vertical="center" wrapText="1"/>
      <protection locked="0"/>
    </xf>
    <xf numFmtId="0" fontId="37" fillId="12" borderId="14" xfId="0" applyFont="1" applyFill="1" applyBorder="1" applyAlignment="1">
      <alignment horizontal="center" wrapText="1"/>
    </xf>
    <xf numFmtId="0" fontId="6" fillId="12" borderId="14" xfId="0" applyFont="1" applyFill="1" applyBorder="1" applyAlignment="1">
      <alignment horizontal="center"/>
    </xf>
    <xf numFmtId="2" fontId="6" fillId="12" borderId="14" xfId="0" applyNumberFormat="1" applyFont="1" applyFill="1" applyBorder="1" applyAlignment="1">
      <alignment horizontal="center"/>
    </xf>
    <xf numFmtId="2" fontId="6" fillId="0" borderId="0" xfId="0" applyNumberFormat="1" applyFont="1" applyBorder="1" applyAlignment="1">
      <alignment horizontal="left"/>
    </xf>
    <xf numFmtId="0" fontId="6" fillId="0" borderId="1" xfId="0" applyFont="1" applyFill="1" applyBorder="1" applyAlignment="1">
      <alignment horizontal="left" vertical="center" wrapText="1"/>
    </xf>
    <xf numFmtId="0" fontId="28" fillId="7" borderId="18" xfId="0" applyFont="1" applyFill="1" applyBorder="1"/>
    <xf numFmtId="0" fontId="6" fillId="7" borderId="18" xfId="0" applyFont="1" applyFill="1" applyBorder="1" applyAlignment="1">
      <alignment horizontal="center" vertical="center"/>
    </xf>
    <xf numFmtId="0" fontId="6" fillId="0" borderId="14" xfId="0" applyFont="1" applyFill="1" applyBorder="1" applyAlignment="1">
      <alignment horizontal="center" vertical="top"/>
    </xf>
    <xf numFmtId="2" fontId="8" fillId="0" borderId="14" xfId="0" applyNumberFormat="1" applyFont="1" applyFill="1" applyBorder="1" applyAlignment="1">
      <alignment horizontal="center" vertical="center" wrapText="1"/>
    </xf>
    <xf numFmtId="2" fontId="6" fillId="0" borderId="0" xfId="0" applyNumberFormat="1" applyFont="1" applyBorder="1" applyAlignment="1"/>
    <xf numFmtId="0" fontId="50" fillId="0" borderId="0" xfId="0" applyFont="1" applyFill="1" applyAlignment="1">
      <alignment horizontal="center"/>
    </xf>
    <xf numFmtId="0" fontId="50" fillId="0" borderId="0" xfId="0" applyFont="1" applyFill="1"/>
    <xf numFmtId="0" fontId="50" fillId="0" borderId="0" xfId="0" applyFont="1" applyFill="1" applyAlignment="1">
      <alignment horizontal="center" vertical="center"/>
    </xf>
    <xf numFmtId="49" fontId="50" fillId="0" borderId="0" xfId="0" applyNumberFormat="1" applyFont="1" applyFill="1" applyAlignment="1">
      <alignment horizontal="center" vertical="center" wrapText="1"/>
    </xf>
    <xf numFmtId="0" fontId="50" fillId="0" borderId="0" xfId="0" applyFont="1" applyFill="1" applyBorder="1"/>
    <xf numFmtId="0" fontId="50" fillId="0" borderId="0" xfId="0" applyFont="1" applyFill="1" applyAlignment="1">
      <alignment horizontal="right"/>
    </xf>
    <xf numFmtId="0" fontId="50" fillId="0" borderId="0" xfId="0" applyFont="1" applyFill="1" applyBorder="1" applyAlignment="1">
      <alignment horizontal="right"/>
    </xf>
    <xf numFmtId="0" fontId="50" fillId="0" borderId="0" xfId="0" applyFont="1" applyFill="1" applyBorder="1" applyAlignment="1">
      <alignment horizontal="center" vertical="center" wrapText="1"/>
    </xf>
    <xf numFmtId="49" fontId="50" fillId="0" borderId="0" xfId="0" applyNumberFormat="1" applyFont="1" applyFill="1" applyBorder="1" applyAlignment="1">
      <alignment horizontal="center" vertical="center" wrapText="1"/>
    </xf>
    <xf numFmtId="167" fontId="50" fillId="0" borderId="0" xfId="0" applyNumberFormat="1" applyFont="1" applyFill="1" applyBorder="1" applyAlignment="1">
      <alignment horizontal="center" vertical="center"/>
    </xf>
    <xf numFmtId="0" fontId="50" fillId="16" borderId="2" xfId="0" applyFont="1" applyFill="1" applyBorder="1" applyAlignment="1">
      <alignment horizontal="center" vertical="center" wrapText="1"/>
    </xf>
    <xf numFmtId="0" fontId="51" fillId="0" borderId="0" xfId="0" applyFont="1" applyFill="1" applyBorder="1"/>
    <xf numFmtId="0" fontId="50" fillId="0" borderId="2" xfId="0" applyFont="1" applyFill="1" applyBorder="1" applyAlignment="1">
      <alignment horizontal="center" vertical="center" wrapText="1"/>
    </xf>
    <xf numFmtId="0" fontId="50" fillId="0" borderId="2" xfId="57" applyNumberFormat="1" applyFont="1" applyFill="1" applyBorder="1" applyAlignment="1">
      <alignment horizontal="left" vertical="center" wrapText="1"/>
    </xf>
    <xf numFmtId="49" fontId="50" fillId="0" borderId="2" xfId="57" applyNumberFormat="1" applyFont="1" applyFill="1" applyBorder="1" applyAlignment="1">
      <alignment horizontal="left" vertical="center" wrapText="1"/>
    </xf>
    <xf numFmtId="0" fontId="50" fillId="0" borderId="2" xfId="0" applyNumberFormat="1" applyFont="1" applyFill="1" applyBorder="1" applyAlignment="1">
      <alignment horizontal="left" vertical="center" wrapText="1"/>
    </xf>
    <xf numFmtId="0" fontId="50" fillId="7" borderId="2" xfId="0" applyFont="1" applyFill="1" applyBorder="1" applyAlignment="1">
      <alignment horizontal="center" vertical="center"/>
    </xf>
    <xf numFmtId="2" fontId="50" fillId="7" borderId="2" xfId="0" applyNumberFormat="1" applyFont="1" applyFill="1" applyBorder="1" applyAlignment="1">
      <alignment horizontal="center" vertical="center"/>
    </xf>
    <xf numFmtId="167" fontId="50" fillId="7" borderId="2" xfId="0" applyNumberFormat="1" applyFont="1" applyFill="1" applyBorder="1" applyAlignment="1">
      <alignment horizontal="center" vertical="center"/>
    </xf>
    <xf numFmtId="0" fontId="50" fillId="0" borderId="2" xfId="0" applyFont="1" applyFill="1" applyBorder="1"/>
    <xf numFmtId="0" fontId="50" fillId="7" borderId="0" xfId="0" applyFont="1" applyFill="1" applyBorder="1"/>
    <xf numFmtId="0" fontId="53" fillId="0" borderId="0" xfId="0" applyFont="1" applyFill="1" applyBorder="1"/>
    <xf numFmtId="0" fontId="54" fillId="0" borderId="2" xfId="0" applyFont="1" applyFill="1" applyBorder="1" applyAlignment="1">
      <alignment horizontal="center" vertical="center"/>
    </xf>
    <xf numFmtId="0" fontId="54" fillId="0" borderId="2" xfId="0" applyFont="1" applyFill="1" applyBorder="1" applyAlignment="1">
      <alignment horizontal="center" vertical="center" wrapText="1"/>
    </xf>
    <xf numFmtId="0" fontId="54" fillId="0" borderId="0" xfId="0" applyFont="1" applyFill="1" applyBorder="1"/>
    <xf numFmtId="0" fontId="50" fillId="0" borderId="2" xfId="57" applyFont="1" applyFill="1" applyBorder="1" applyAlignment="1">
      <alignment horizontal="center" vertical="center"/>
    </xf>
    <xf numFmtId="0" fontId="50" fillId="0" borderId="2" xfId="57" applyFont="1" applyFill="1" applyBorder="1" applyAlignment="1">
      <alignment horizontal="center" vertical="center" wrapText="1"/>
    </xf>
    <xf numFmtId="0" fontId="50" fillId="0" borderId="2" xfId="0" applyFont="1" applyFill="1" applyBorder="1" applyAlignment="1" applyProtection="1">
      <alignment horizontal="center" vertical="center" wrapText="1"/>
      <protection locked="0"/>
    </xf>
    <xf numFmtId="49" fontId="50" fillId="0" borderId="2" xfId="0" applyNumberFormat="1" applyFont="1" applyFill="1" applyBorder="1" applyAlignment="1">
      <alignment horizontal="center" vertical="center" wrapText="1"/>
    </xf>
    <xf numFmtId="167" fontId="50" fillId="0" borderId="2" xfId="0" applyNumberFormat="1" applyFont="1" applyFill="1" applyBorder="1" applyAlignment="1">
      <alignment horizontal="center" vertical="center" wrapText="1"/>
    </xf>
    <xf numFmtId="1" fontId="50" fillId="0" borderId="2" xfId="0" applyNumberFormat="1" applyFont="1" applyFill="1" applyBorder="1" applyAlignment="1">
      <alignment horizontal="center" vertical="center"/>
    </xf>
    <xf numFmtId="174" fontId="50" fillId="0" borderId="2" xfId="0" applyNumberFormat="1" applyFont="1" applyFill="1" applyBorder="1" applyAlignment="1">
      <alignment horizontal="center" vertical="center"/>
    </xf>
    <xf numFmtId="0" fontId="51" fillId="17" borderId="0" xfId="0" applyFont="1" applyFill="1" applyBorder="1" applyAlignment="1">
      <alignment vertical="center"/>
    </xf>
    <xf numFmtId="0" fontId="51" fillId="0" borderId="0" xfId="0" applyFont="1" applyFill="1" applyBorder="1" applyAlignment="1">
      <alignment horizontal="center" vertical="center"/>
    </xf>
    <xf numFmtId="0" fontId="51" fillId="17" borderId="0" xfId="0" applyFont="1" applyFill="1" applyBorder="1" applyAlignment="1">
      <alignment horizontal="center" vertical="center"/>
    </xf>
    <xf numFmtId="2" fontId="50" fillId="0" borderId="2" xfId="0" applyNumberFormat="1" applyFont="1" applyFill="1" applyBorder="1" applyAlignment="1">
      <alignment horizontal="center" vertical="center" wrapText="1"/>
    </xf>
    <xf numFmtId="2" fontId="54" fillId="0" borderId="2" xfId="0" applyNumberFormat="1" applyFont="1" applyFill="1" applyBorder="1" applyAlignment="1">
      <alignment horizontal="center" vertical="center" wrapText="1"/>
    </xf>
    <xf numFmtId="0" fontId="50" fillId="7" borderId="0" xfId="0" applyFont="1" applyFill="1" applyBorder="1" applyAlignment="1">
      <alignment horizontal="center" vertical="center"/>
    </xf>
    <xf numFmtId="0" fontId="51" fillId="17" borderId="0" xfId="0" applyFont="1" applyFill="1" applyBorder="1"/>
    <xf numFmtId="49" fontId="50" fillId="0" borderId="2" xfId="0" applyNumberFormat="1" applyFont="1" applyFill="1" applyBorder="1" applyAlignment="1">
      <alignment horizontal="center" vertical="center"/>
    </xf>
    <xf numFmtId="0" fontId="50" fillId="7" borderId="0" xfId="0" applyFont="1" applyFill="1"/>
    <xf numFmtId="0" fontId="50" fillId="0" borderId="2" xfId="1" applyFont="1" applyFill="1" applyBorder="1" applyAlignment="1">
      <alignment horizontal="center" vertical="center"/>
    </xf>
    <xf numFmtId="0" fontId="50" fillId="18" borderId="2" xfId="0" applyFont="1" applyFill="1" applyBorder="1" applyAlignment="1">
      <alignment horizontal="center" vertical="center"/>
    </xf>
    <xf numFmtId="0" fontId="50" fillId="18" borderId="0" xfId="0" applyFont="1" applyFill="1" applyBorder="1"/>
    <xf numFmtId="0" fontId="53" fillId="18" borderId="0" xfId="0" applyFont="1" applyFill="1" applyBorder="1"/>
    <xf numFmtId="2" fontId="50" fillId="0" borderId="0" xfId="0" applyNumberFormat="1" applyFont="1" applyFill="1" applyBorder="1" applyAlignment="1">
      <alignment horizontal="center" vertical="center"/>
    </xf>
    <xf numFmtId="0" fontId="50" fillId="0" borderId="0" xfId="57" applyFont="1" applyFill="1" applyBorder="1" applyAlignment="1">
      <alignment horizontal="center" vertical="center"/>
    </xf>
    <xf numFmtId="0" fontId="50" fillId="0" borderId="0" xfId="57" applyFont="1" applyFill="1" applyBorder="1" applyAlignment="1">
      <alignment horizontal="center" vertical="center" wrapText="1"/>
    </xf>
    <xf numFmtId="0" fontId="50" fillId="0" borderId="0" xfId="1" applyFont="1" applyFill="1" applyBorder="1" applyAlignment="1">
      <alignment horizontal="center" vertical="center"/>
    </xf>
    <xf numFmtId="0" fontId="50" fillId="0" borderId="0" xfId="0" applyFont="1" applyFill="1" applyBorder="1" applyAlignment="1">
      <alignment horizontal="left"/>
    </xf>
    <xf numFmtId="0" fontId="55" fillId="0" borderId="2" xfId="0" applyFont="1" applyFill="1" applyBorder="1"/>
    <xf numFmtId="0" fontId="55" fillId="0" borderId="2" xfId="0" applyFont="1" applyFill="1" applyBorder="1" applyAlignment="1">
      <alignment horizontal="center" vertical="center"/>
    </xf>
    <xf numFmtId="0" fontId="55" fillId="0" borderId="2" xfId="0" applyFont="1" applyFill="1" applyBorder="1" applyAlignment="1">
      <alignment horizontal="left"/>
    </xf>
    <xf numFmtId="0" fontId="55" fillId="0" borderId="0" xfId="0" applyFont="1" applyFill="1" applyBorder="1"/>
    <xf numFmtId="0" fontId="55" fillId="0" borderId="0" xfId="0" applyFont="1" applyFill="1" applyBorder="1" applyAlignment="1">
      <alignment horizontal="center" vertical="center"/>
    </xf>
    <xf numFmtId="0" fontId="55" fillId="0" borderId="0" xfId="0" applyFont="1" applyFill="1" applyBorder="1" applyAlignment="1">
      <alignment horizontal="left"/>
    </xf>
    <xf numFmtId="0" fontId="50" fillId="19" borderId="0" xfId="0" applyFont="1" applyFill="1" applyBorder="1"/>
    <xf numFmtId="2" fontId="55" fillId="0" borderId="2" xfId="0" applyNumberFormat="1" applyFont="1" applyFill="1" applyBorder="1" applyAlignment="1">
      <alignment horizontal="center" vertical="center" wrapText="1"/>
    </xf>
    <xf numFmtId="0" fontId="50" fillId="3" borderId="2" xfId="0" applyFont="1" applyFill="1" applyBorder="1" applyAlignment="1">
      <alignment horizontal="center" vertical="center"/>
    </xf>
    <xf numFmtId="0" fontId="50" fillId="20" borderId="2" xfId="0" applyFont="1" applyFill="1" applyBorder="1" applyAlignment="1">
      <alignment horizontal="center" vertical="center"/>
    </xf>
    <xf numFmtId="0" fontId="50" fillId="20" borderId="0" xfId="0" applyFont="1" applyFill="1" applyBorder="1"/>
    <xf numFmtId="167" fontId="50" fillId="3" borderId="2" xfId="0" applyNumberFormat="1" applyFont="1" applyFill="1" applyBorder="1" applyAlignment="1">
      <alignment horizontal="center" vertical="center"/>
    </xf>
    <xf numFmtId="176" fontId="50" fillId="0" borderId="2" xfId="0" applyNumberFormat="1" applyFont="1" applyFill="1" applyBorder="1" applyAlignment="1">
      <alignment horizontal="center" vertical="center"/>
    </xf>
    <xf numFmtId="167" fontId="50" fillId="21" borderId="2" xfId="0" applyNumberFormat="1" applyFont="1" applyFill="1" applyBorder="1" applyAlignment="1">
      <alignment horizontal="center" vertical="center"/>
    </xf>
    <xf numFmtId="2" fontId="50" fillId="21" borderId="2" xfId="0" applyNumberFormat="1" applyFont="1" applyFill="1" applyBorder="1" applyAlignment="1">
      <alignment horizontal="center" vertical="center"/>
    </xf>
    <xf numFmtId="2" fontId="50" fillId="0" borderId="2" xfId="0" applyNumberFormat="1" applyFont="1" applyFill="1" applyBorder="1" applyAlignment="1">
      <alignment horizontal="center" vertical="center"/>
    </xf>
    <xf numFmtId="174" fontId="55" fillId="0" borderId="2" xfId="0" applyNumberFormat="1" applyFont="1" applyFill="1" applyBorder="1" applyAlignment="1">
      <alignment horizontal="center" vertical="center"/>
    </xf>
    <xf numFmtId="0" fontId="50" fillId="0" borderId="2" xfId="57" applyFont="1" applyFill="1" applyBorder="1" applyAlignment="1">
      <alignment horizontal="left" vertical="center" wrapText="1"/>
    </xf>
    <xf numFmtId="0" fontId="53" fillId="0" borderId="0" xfId="0" applyFont="1" applyFill="1" applyAlignment="1">
      <alignment horizontal="center" vertical="center" wrapText="1"/>
    </xf>
    <xf numFmtId="0" fontId="53" fillId="0" borderId="0" xfId="0" applyFont="1" applyFill="1" applyBorder="1" applyAlignment="1">
      <alignment horizontal="center" vertical="center" wrapText="1"/>
    </xf>
    <xf numFmtId="0" fontId="57" fillId="0" borderId="2"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1" fillId="0" borderId="0" xfId="0" applyFont="1" applyFill="1" applyAlignment="1">
      <alignment horizontal="center"/>
    </xf>
    <xf numFmtId="0" fontId="51" fillId="0" borderId="0" xfId="0" applyFont="1" applyFill="1" applyBorder="1" applyAlignment="1">
      <alignment horizontal="center"/>
    </xf>
    <xf numFmtId="2" fontId="51" fillId="0" borderId="0" xfId="0" applyNumberFormat="1" applyFont="1" applyFill="1" applyBorder="1" applyAlignment="1">
      <alignment horizontal="center"/>
    </xf>
    <xf numFmtId="2" fontId="51" fillId="0" borderId="2" xfId="0" applyNumberFormat="1" applyFont="1" applyFill="1" applyBorder="1" applyAlignment="1">
      <alignment horizontal="center"/>
    </xf>
    <xf numFmtId="2" fontId="50" fillId="3" borderId="2" xfId="0" applyNumberFormat="1" applyFont="1" applyFill="1" applyBorder="1" applyAlignment="1">
      <alignment horizontal="center" vertical="center"/>
    </xf>
    <xf numFmtId="14" fontId="50" fillId="0" borderId="2" xfId="0" applyNumberFormat="1" applyFont="1" applyFill="1" applyBorder="1" applyAlignment="1">
      <alignment horizontal="center" vertical="center"/>
    </xf>
    <xf numFmtId="0" fontId="29" fillId="0" borderId="2" xfId="0" applyFont="1" applyFill="1" applyBorder="1" applyAlignment="1">
      <alignment horizontal="center" vertical="center" wrapText="1"/>
    </xf>
    <xf numFmtId="0" fontId="50" fillId="0" borderId="2" xfId="0" applyFont="1" applyFill="1" applyBorder="1" applyAlignment="1">
      <alignment horizontal="left" vertical="center"/>
    </xf>
    <xf numFmtId="2" fontId="50" fillId="0" borderId="2" xfId="0" applyNumberFormat="1" applyFont="1" applyFill="1" applyBorder="1" applyAlignment="1">
      <alignment vertical="center"/>
    </xf>
    <xf numFmtId="167" fontId="50" fillId="0" borderId="2" xfId="0" applyNumberFormat="1" applyFont="1" applyFill="1" applyBorder="1" applyAlignment="1">
      <alignment horizontal="left" vertical="center"/>
    </xf>
    <xf numFmtId="0" fontId="50" fillId="0" borderId="2" xfId="57" applyFont="1" applyFill="1" applyBorder="1" applyAlignment="1">
      <alignment horizontal="left" vertical="center"/>
    </xf>
    <xf numFmtId="0" fontId="50" fillId="0" borderId="2" xfId="0" applyFont="1" applyFill="1" applyBorder="1" applyAlignment="1">
      <alignment horizontal="left" vertical="center" wrapText="1"/>
    </xf>
    <xf numFmtId="2" fontId="50" fillId="0" borderId="2" xfId="0" applyNumberFormat="1" applyFont="1" applyFill="1" applyBorder="1" applyAlignment="1">
      <alignment horizontal="left" vertical="center"/>
    </xf>
    <xf numFmtId="0" fontId="50" fillId="0" borderId="5" xfId="0" applyFont="1" applyBorder="1" applyAlignment="1">
      <alignment horizontal="center" vertical="center"/>
    </xf>
    <xf numFmtId="0" fontId="50" fillId="0" borderId="5" xfId="0" applyFont="1" applyFill="1" applyBorder="1" applyAlignment="1">
      <alignment horizontal="center" vertical="center" wrapText="1"/>
    </xf>
    <xf numFmtId="0" fontId="50" fillId="0" borderId="1" xfId="0" applyFont="1" applyFill="1" applyBorder="1" applyAlignment="1">
      <alignment vertical="center" wrapText="1"/>
    </xf>
    <xf numFmtId="49" fontId="50" fillId="0" borderId="2" xfId="0" applyNumberFormat="1" applyFont="1" applyFill="1" applyBorder="1" applyAlignment="1">
      <alignment horizontal="left" vertical="center" wrapText="1"/>
    </xf>
    <xf numFmtId="14" fontId="50" fillId="0" borderId="0" xfId="0" applyNumberFormat="1" applyFont="1" applyFill="1"/>
    <xf numFmtId="14" fontId="50" fillId="0" borderId="0" xfId="0" applyNumberFormat="1" applyFont="1" applyFill="1" applyBorder="1" applyAlignment="1">
      <alignment horizontal="left"/>
    </xf>
    <xf numFmtId="14" fontId="55" fillId="0" borderId="2" xfId="0" applyNumberFormat="1" applyFont="1" applyFill="1" applyBorder="1" applyAlignment="1">
      <alignment horizontal="left"/>
    </xf>
    <xf numFmtId="14" fontId="55" fillId="0" borderId="0" xfId="0" applyNumberFormat="1" applyFont="1" applyFill="1" applyBorder="1" applyAlignment="1">
      <alignment horizontal="left"/>
    </xf>
    <xf numFmtId="0" fontId="52" fillId="0" borderId="0" xfId="0" applyFont="1" applyFill="1" applyBorder="1"/>
    <xf numFmtId="14" fontId="50" fillId="0" borderId="2" xfId="0" applyNumberFormat="1" applyFont="1" applyFill="1" applyBorder="1" applyAlignment="1">
      <alignment horizontal="center" vertical="center" wrapText="1"/>
    </xf>
    <xf numFmtId="0" fontId="50" fillId="0" borderId="0" xfId="0" applyFont="1" applyFill="1" applyBorder="1" applyAlignment="1">
      <alignment horizontal="center" wrapText="1"/>
    </xf>
    <xf numFmtId="0" fontId="50" fillId="0" borderId="2" xfId="0" applyFont="1" applyFill="1" applyBorder="1" applyAlignment="1">
      <alignment horizontal="center" wrapText="1"/>
    </xf>
    <xf numFmtId="14" fontId="50" fillId="0" borderId="5" xfId="0" applyNumberFormat="1" applyFont="1" applyFill="1" applyBorder="1" applyAlignment="1">
      <alignment horizontal="center" vertical="center" wrapText="1"/>
    </xf>
    <xf numFmtId="0" fontId="29" fillId="0" borderId="2" xfId="0" applyFont="1" applyFill="1" applyBorder="1" applyAlignment="1">
      <alignment horizontal="center" vertical="center"/>
    </xf>
    <xf numFmtId="14" fontId="54" fillId="0" borderId="2" xfId="0" applyNumberFormat="1" applyFont="1" applyFill="1" applyBorder="1" applyAlignment="1">
      <alignment horizontal="center" vertical="center"/>
    </xf>
    <xf numFmtId="2" fontId="50" fillId="0" borderId="2" xfId="0" applyNumberFormat="1" applyFont="1" applyFill="1" applyBorder="1" applyAlignment="1">
      <alignment horizontal="left" vertical="center" wrapText="1"/>
    </xf>
    <xf numFmtId="14" fontId="50" fillId="0" borderId="5" xfId="0" applyNumberFormat="1" applyFont="1" applyFill="1" applyBorder="1" applyAlignment="1">
      <alignment horizontal="center" vertical="center"/>
    </xf>
    <xf numFmtId="49" fontId="50" fillId="0" borderId="2" xfId="0" applyNumberFormat="1" applyFont="1" applyFill="1" applyBorder="1" applyAlignment="1">
      <alignment vertical="center"/>
    </xf>
    <xf numFmtId="49" fontId="50" fillId="0" borderId="2" xfId="0" applyNumberFormat="1" applyFont="1" applyFill="1" applyBorder="1" applyAlignment="1">
      <alignment horizontal="left" vertical="center"/>
    </xf>
    <xf numFmtId="0" fontId="6" fillId="0" borderId="2" xfId="0" applyFont="1" applyFill="1" applyBorder="1" applyAlignment="1">
      <alignment horizontal="center" vertical="center" wrapText="1"/>
    </xf>
    <xf numFmtId="0" fontId="50" fillId="3" borderId="0" xfId="0" applyFont="1" applyFill="1" applyBorder="1" applyAlignment="1">
      <alignment horizontal="center" vertical="center"/>
    </xf>
    <xf numFmtId="0" fontId="50" fillId="3" borderId="0" xfId="0" applyFont="1" applyFill="1" applyBorder="1"/>
    <xf numFmtId="0" fontId="54" fillId="3" borderId="0" xfId="0" applyFont="1" applyFill="1" applyBorder="1"/>
    <xf numFmtId="0" fontId="51" fillId="3" borderId="0" xfId="0" applyFont="1" applyFill="1" applyBorder="1"/>
    <xf numFmtId="49" fontId="55" fillId="0" borderId="2" xfId="0" applyNumberFormat="1" applyFont="1" applyFill="1" applyBorder="1" applyAlignment="1">
      <alignment horizontal="center" vertical="center" wrapText="1"/>
    </xf>
    <xf numFmtId="0" fontId="55" fillId="0" borderId="2" xfId="0" applyFont="1" applyFill="1" applyBorder="1" applyAlignment="1">
      <alignment horizontal="center" vertical="center" wrapText="1"/>
    </xf>
    <xf numFmtId="167" fontId="55" fillId="0" borderId="2" xfId="0" applyNumberFormat="1" applyFont="1" applyFill="1" applyBorder="1" applyAlignment="1">
      <alignment horizontal="center" vertical="center"/>
    </xf>
    <xf numFmtId="2" fontId="55" fillId="0" borderId="2" xfId="0" applyNumberFormat="1" applyFont="1" applyFill="1" applyBorder="1" applyAlignment="1">
      <alignment horizontal="center" vertical="center"/>
    </xf>
    <xf numFmtId="0" fontId="55" fillId="3" borderId="2" xfId="0" applyFont="1" applyFill="1" applyBorder="1" applyAlignment="1">
      <alignment horizontal="center" vertical="center"/>
    </xf>
    <xf numFmtId="14" fontId="55" fillId="0" borderId="2" xfId="0" applyNumberFormat="1" applyFont="1" applyFill="1" applyBorder="1" applyAlignment="1">
      <alignment horizontal="center" vertical="center"/>
    </xf>
    <xf numFmtId="49" fontId="56" fillId="0" borderId="0" xfId="0" applyNumberFormat="1" applyFont="1" applyFill="1" applyBorder="1" applyAlignment="1">
      <alignment horizontal="center" vertical="center" wrapText="1"/>
    </xf>
    <xf numFmtId="167" fontId="50" fillId="0" borderId="2" xfId="0" applyNumberFormat="1" applyFont="1" applyFill="1" applyBorder="1" applyAlignment="1">
      <alignment horizontal="center" vertical="center"/>
    </xf>
    <xf numFmtId="0" fontId="50" fillId="0" borderId="2"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51" fillId="0" borderId="0" xfId="0" applyFont="1" applyFill="1" applyBorder="1" applyAlignment="1">
      <alignment vertical="center"/>
    </xf>
    <xf numFmtId="49" fontId="50" fillId="0" borderId="0" xfId="0" applyNumberFormat="1" applyFont="1" applyFill="1" applyBorder="1" applyAlignment="1">
      <alignment horizontal="center" vertical="center"/>
    </xf>
    <xf numFmtId="49" fontId="50" fillId="0" borderId="0" xfId="0" applyNumberFormat="1" applyFont="1" applyFill="1" applyBorder="1" applyAlignment="1">
      <alignment horizontal="left"/>
    </xf>
    <xf numFmtId="49" fontId="55" fillId="0" borderId="2" xfId="0" applyNumberFormat="1" applyFont="1" applyFill="1" applyBorder="1" applyAlignment="1">
      <alignment horizontal="left"/>
    </xf>
    <xf numFmtId="49" fontId="55" fillId="0" borderId="0" xfId="0" applyNumberFormat="1" applyFont="1" applyFill="1" applyBorder="1" applyAlignment="1">
      <alignment horizontal="left"/>
    </xf>
    <xf numFmtId="0" fontId="55" fillId="0" borderId="2" xfId="0" applyFont="1" applyFill="1" applyBorder="1" applyAlignment="1">
      <alignment horizontal="left" vertical="center"/>
    </xf>
    <xf numFmtId="0" fontId="55" fillId="0" borderId="2" xfId="57" applyFont="1" applyFill="1" applyBorder="1" applyAlignment="1">
      <alignment horizontal="center" vertical="center"/>
    </xf>
    <xf numFmtId="0" fontId="51" fillId="3" borderId="0" xfId="0" applyFont="1" applyFill="1" applyBorder="1" applyAlignment="1">
      <alignment vertical="center"/>
    </xf>
    <xf numFmtId="0" fontId="52" fillId="17" borderId="0" xfId="0" applyFont="1" applyFill="1" applyBorder="1"/>
    <xf numFmtId="0" fontId="58" fillId="17" borderId="0" xfId="0" applyFont="1" applyFill="1" applyBorder="1"/>
    <xf numFmtId="0" fontId="58" fillId="0" borderId="0" xfId="0" applyFont="1" applyFill="1" applyBorder="1"/>
    <xf numFmtId="0" fontId="50"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50" fillId="19" borderId="2" xfId="0" applyFont="1" applyFill="1" applyBorder="1" applyAlignment="1">
      <alignment horizontal="center" vertical="center"/>
    </xf>
    <xf numFmtId="0" fontId="50" fillId="0" borderId="0" xfId="0" applyFont="1" applyFill="1" applyAlignment="1">
      <alignment wrapText="1"/>
    </xf>
    <xf numFmtId="0" fontId="50" fillId="0" borderId="0" xfId="0" applyFont="1" applyFill="1" applyBorder="1" applyAlignment="1">
      <alignment horizontal="left" wrapText="1"/>
    </xf>
    <xf numFmtId="2" fontId="55" fillId="0" borderId="2" xfId="0" applyNumberFormat="1" applyFont="1" applyFill="1" applyBorder="1" applyAlignment="1">
      <alignment horizontal="left" wrapText="1"/>
    </xf>
    <xf numFmtId="0" fontId="55" fillId="0" borderId="2" xfId="0" applyFont="1" applyFill="1" applyBorder="1" applyAlignment="1">
      <alignment horizontal="left" wrapText="1"/>
    </xf>
    <xf numFmtId="176" fontId="55" fillId="0" borderId="2" xfId="0" applyNumberFormat="1" applyFont="1" applyFill="1" applyBorder="1" applyAlignment="1">
      <alignment horizontal="left" wrapText="1"/>
    </xf>
    <xf numFmtId="174" fontId="55" fillId="0" borderId="2" xfId="0" applyNumberFormat="1" applyFont="1" applyFill="1" applyBorder="1" applyAlignment="1">
      <alignment horizontal="left" wrapText="1"/>
    </xf>
    <xf numFmtId="174" fontId="55" fillId="0" borderId="0" xfId="0" applyNumberFormat="1" applyFont="1" applyFill="1" applyBorder="1" applyAlignment="1">
      <alignment horizontal="left" wrapText="1"/>
    </xf>
    <xf numFmtId="0" fontId="55" fillId="0" borderId="0" xfId="0" applyFont="1" applyFill="1" applyBorder="1" applyAlignment="1">
      <alignment horizontal="left" wrapText="1"/>
    </xf>
    <xf numFmtId="167" fontId="55" fillId="0" borderId="2" xfId="0" applyNumberFormat="1" applyFont="1" applyFill="1" applyBorder="1" applyAlignment="1">
      <alignment horizontal="center" vertical="center" wrapText="1"/>
    </xf>
    <xf numFmtId="175" fontId="55" fillId="0" borderId="2" xfId="0" applyNumberFormat="1" applyFont="1" applyFill="1" applyBorder="1" applyAlignment="1">
      <alignment horizontal="left" wrapText="1"/>
    </xf>
    <xf numFmtId="167" fontId="55" fillId="0" borderId="2" xfId="0" applyNumberFormat="1" applyFont="1" applyFill="1" applyBorder="1" applyAlignment="1">
      <alignment horizontal="left" wrapText="1"/>
    </xf>
    <xf numFmtId="2" fontId="55" fillId="0" borderId="0" xfId="0" applyNumberFormat="1" applyFont="1" applyFill="1" applyBorder="1" applyAlignment="1">
      <alignment horizontal="left" wrapText="1"/>
    </xf>
    <xf numFmtId="0" fontId="50" fillId="0" borderId="1" xfId="0" applyFont="1" applyFill="1" applyBorder="1" applyAlignment="1">
      <alignment horizontal="center" vertical="center" wrapText="1"/>
    </xf>
    <xf numFmtId="0" fontId="50" fillId="0" borderId="14" xfId="0" applyFont="1" applyFill="1" applyBorder="1" applyAlignment="1">
      <alignment horizontal="center" vertical="center" wrapText="1"/>
    </xf>
    <xf numFmtId="49" fontId="55" fillId="0" borderId="1" xfId="0" applyNumberFormat="1" applyFont="1" applyFill="1" applyBorder="1" applyAlignment="1">
      <alignment horizontal="center" vertical="center" wrapText="1"/>
    </xf>
    <xf numFmtId="0" fontId="50" fillId="0" borderId="0" xfId="0" applyFont="1" applyFill="1" applyBorder="1" applyAlignment="1">
      <alignment horizontal="center" vertical="center"/>
    </xf>
    <xf numFmtId="0" fontId="50" fillId="0" borderId="0" xfId="0" applyFont="1" applyFill="1" applyBorder="1" applyAlignment="1">
      <alignment wrapText="1"/>
    </xf>
    <xf numFmtId="0" fontId="55" fillId="0" borderId="2" xfId="0" applyFont="1" applyFill="1" applyBorder="1" applyAlignment="1">
      <alignment wrapText="1"/>
    </xf>
    <xf numFmtId="0" fontId="55" fillId="0" borderId="0" xfId="0" applyFont="1" applyFill="1" applyBorder="1" applyAlignment="1">
      <alignment wrapText="1"/>
    </xf>
    <xf numFmtId="2" fontId="50" fillId="0" borderId="14" xfId="0" applyNumberFormat="1" applyFont="1" applyFill="1" applyBorder="1" applyAlignment="1">
      <alignment horizontal="center" vertical="center" wrapText="1"/>
    </xf>
    <xf numFmtId="0" fontId="50" fillId="0" borderId="35" xfId="0" applyFont="1" applyFill="1" applyBorder="1" applyAlignment="1">
      <alignment horizontal="center" vertical="center" wrapText="1"/>
    </xf>
    <xf numFmtId="167" fontId="50"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50" fillId="0" borderId="35" xfId="0" applyFont="1" applyFill="1" applyBorder="1" applyAlignment="1">
      <alignment horizontal="center" vertical="center"/>
    </xf>
    <xf numFmtId="49" fontId="50" fillId="0" borderId="5" xfId="0" applyNumberFormat="1" applyFont="1" applyFill="1" applyBorder="1" applyAlignment="1">
      <alignment horizontal="center" vertical="center"/>
    </xf>
    <xf numFmtId="2" fontId="50" fillId="0" borderId="14" xfId="0" applyNumberFormat="1" applyFont="1" applyFill="1" applyBorder="1" applyAlignment="1">
      <alignment horizontal="center" vertical="center"/>
    </xf>
    <xf numFmtId="2" fontId="50" fillId="0" borderId="1" xfId="0" applyNumberFormat="1" applyFont="1" applyFill="1" applyBorder="1" applyAlignment="1">
      <alignment horizontal="center" vertical="center"/>
    </xf>
    <xf numFmtId="167" fontId="50" fillId="16" borderId="2" xfId="0" applyNumberFormat="1" applyFont="1" applyFill="1" applyBorder="1" applyAlignment="1">
      <alignment horizontal="center" vertical="center"/>
    </xf>
    <xf numFmtId="2" fontId="50" fillId="16" borderId="2" xfId="0" applyNumberFormat="1" applyFont="1" applyFill="1" applyBorder="1" applyAlignment="1">
      <alignment horizontal="center" vertical="center"/>
    </xf>
    <xf numFmtId="14" fontId="50" fillId="0" borderId="1" xfId="0" applyNumberFormat="1" applyFont="1" applyFill="1" applyBorder="1" applyAlignment="1">
      <alignment vertical="center"/>
    </xf>
    <xf numFmtId="14" fontId="50" fillId="0" borderId="3" xfId="0" applyNumberFormat="1" applyFont="1" applyFill="1" applyBorder="1" applyAlignment="1">
      <alignment horizontal="center" vertical="center"/>
    </xf>
    <xf numFmtId="0" fontId="50" fillId="0" borderId="2" xfId="0" applyFont="1" applyFill="1" applyBorder="1" applyAlignment="1" applyProtection="1">
      <alignment horizontal="center" vertical="center" wrapText="1"/>
    </xf>
    <xf numFmtId="0" fontId="50" fillId="17" borderId="2" xfId="0" applyFont="1" applyFill="1" applyBorder="1" applyAlignment="1">
      <alignment horizontal="center" vertical="center"/>
    </xf>
    <xf numFmtId="0" fontId="50" fillId="0" borderId="5" xfId="0" applyFont="1" applyFill="1" applyBorder="1" applyAlignment="1" applyProtection="1">
      <alignment horizontal="center" vertical="center" wrapText="1"/>
      <protection locked="0"/>
    </xf>
    <xf numFmtId="0" fontId="55" fillId="17" borderId="2" xfId="0" applyFont="1" applyFill="1" applyBorder="1" applyAlignment="1">
      <alignment horizontal="center" vertical="center"/>
    </xf>
    <xf numFmtId="49" fontId="54" fillId="0" borderId="2" xfId="0" applyNumberFormat="1" applyFont="1" applyFill="1" applyBorder="1" applyAlignment="1">
      <alignment horizontal="center" vertical="center"/>
    </xf>
    <xf numFmtId="49" fontId="50" fillId="0" borderId="1" xfId="0" applyNumberFormat="1" applyFont="1" applyFill="1" applyBorder="1" applyAlignment="1">
      <alignment vertical="center"/>
    </xf>
    <xf numFmtId="49" fontId="50" fillId="0" borderId="14" xfId="0" applyNumberFormat="1" applyFont="1" applyFill="1" applyBorder="1" applyAlignment="1">
      <alignment horizontal="center" vertical="center"/>
    </xf>
    <xf numFmtId="49" fontId="50" fillId="0" borderId="1" xfId="0" applyNumberFormat="1" applyFont="1" applyFill="1" applyBorder="1" applyAlignment="1">
      <alignment horizontal="center" vertical="center"/>
    </xf>
    <xf numFmtId="0" fontId="50" fillId="0" borderId="0" xfId="0" applyFont="1" applyFill="1" applyBorder="1" applyAlignment="1" applyProtection="1">
      <alignment horizontal="center" vertical="center" wrapText="1"/>
      <protection locked="0"/>
    </xf>
    <xf numFmtId="2" fontId="50" fillId="0" borderId="0" xfId="0" applyNumberFormat="1" applyFont="1" applyFill="1" applyBorder="1" applyAlignment="1">
      <alignment horizontal="center"/>
    </xf>
    <xf numFmtId="2" fontId="50" fillId="0" borderId="2" xfId="0" applyNumberFormat="1" applyFont="1" applyFill="1" applyBorder="1" applyAlignment="1">
      <alignment horizontal="center"/>
    </xf>
    <xf numFmtId="0" fontId="55" fillId="0" borderId="0" xfId="0" applyFont="1" applyFill="1" applyBorder="1" applyAlignment="1">
      <alignment horizontal="center" vertical="center" wrapText="1"/>
    </xf>
    <xf numFmtId="0" fontId="50" fillId="0" borderId="2" xfId="57" applyFont="1" applyFill="1" applyBorder="1" applyAlignment="1" applyProtection="1">
      <alignment horizontal="center" vertical="center"/>
      <protection locked="0"/>
    </xf>
    <xf numFmtId="14" fontId="55" fillId="0" borderId="2" xfId="0" applyNumberFormat="1" applyFont="1" applyFill="1" applyBorder="1" applyAlignment="1">
      <alignment horizontal="center" vertical="center" wrapText="1"/>
    </xf>
    <xf numFmtId="14" fontId="55" fillId="0" borderId="5" xfId="0" applyNumberFormat="1" applyFont="1" applyFill="1" applyBorder="1" applyAlignment="1">
      <alignment horizontal="center" vertical="center"/>
    </xf>
    <xf numFmtId="167" fontId="50" fillId="0" borderId="14" xfId="0" applyNumberFormat="1" applyFont="1" applyFill="1" applyBorder="1" applyAlignment="1">
      <alignment horizontal="center" vertical="center" wrapText="1"/>
    </xf>
    <xf numFmtId="49" fontId="50" fillId="0" borderId="5" xfId="0" applyNumberFormat="1" applyFont="1" applyFill="1" applyBorder="1" applyAlignment="1">
      <alignment horizontal="center" vertical="center" wrapText="1"/>
    </xf>
    <xf numFmtId="0" fontId="50" fillId="0" borderId="2" xfId="0" applyFont="1" applyFill="1" applyBorder="1" applyAlignment="1">
      <alignment horizontal="center" vertical="center" wrapText="1" shrinkToFit="1"/>
    </xf>
    <xf numFmtId="14" fontId="50" fillId="0" borderId="2" xfId="0" applyNumberFormat="1" applyFont="1" applyFill="1" applyBorder="1" applyAlignment="1" applyProtection="1">
      <alignment horizontal="center" vertical="center" wrapText="1"/>
    </xf>
    <xf numFmtId="0" fontId="50" fillId="0" borderId="2" xfId="0" applyFont="1" applyFill="1" applyBorder="1" applyAlignment="1" applyProtection="1">
      <alignment horizontal="left" vertical="center" wrapText="1"/>
    </xf>
    <xf numFmtId="0" fontId="50" fillId="0" borderId="2" xfId="57" applyNumberFormat="1" applyFont="1" applyFill="1" applyBorder="1" applyAlignment="1">
      <alignment horizontal="center" vertical="center" wrapText="1"/>
    </xf>
    <xf numFmtId="167" fontId="50" fillId="0" borderId="14" xfId="0" applyNumberFormat="1" applyFont="1" applyFill="1" applyBorder="1" applyAlignment="1">
      <alignment vertical="center"/>
    </xf>
    <xf numFmtId="49" fontId="50" fillId="0" borderId="4" xfId="0" applyNumberFormat="1" applyFont="1" applyFill="1" applyBorder="1" applyAlignment="1">
      <alignment horizontal="center" vertical="center" wrapText="1"/>
    </xf>
    <xf numFmtId="14" fontId="50" fillId="0" borderId="2" xfId="0" applyNumberFormat="1" applyFont="1" applyFill="1" applyBorder="1" applyAlignment="1">
      <alignment vertical="center"/>
    </xf>
    <xf numFmtId="49" fontId="50" fillId="0" borderId="1" xfId="0" applyNumberFormat="1" applyFont="1" applyFill="1" applyBorder="1" applyAlignment="1">
      <alignment horizontal="center" vertical="center"/>
    </xf>
    <xf numFmtId="49" fontId="50" fillId="0" borderId="3" xfId="0" applyNumberFormat="1" applyFont="1" applyFill="1" applyBorder="1" applyAlignment="1">
      <alignment horizontal="center" vertical="center"/>
    </xf>
    <xf numFmtId="49" fontId="50" fillId="0" borderId="14" xfId="0" applyNumberFormat="1" applyFont="1" applyFill="1" applyBorder="1" applyAlignment="1">
      <alignment horizontal="center" vertical="center"/>
    </xf>
    <xf numFmtId="2" fontId="56" fillId="0" borderId="0" xfId="0" applyNumberFormat="1" applyFont="1" applyFill="1" applyBorder="1" applyAlignment="1">
      <alignment horizontal="center"/>
    </xf>
    <xf numFmtId="0" fontId="50" fillId="0" borderId="1" xfId="0" applyFont="1" applyFill="1" applyBorder="1" applyAlignment="1">
      <alignment horizontal="center" wrapText="1"/>
    </xf>
    <xf numFmtId="0" fontId="50" fillId="0" borderId="3" xfId="0" applyFont="1" applyFill="1" applyBorder="1" applyAlignment="1">
      <alignment horizontal="center" wrapText="1"/>
    </xf>
    <xf numFmtId="0" fontId="50" fillId="0" borderId="14" xfId="0" applyFont="1" applyFill="1" applyBorder="1" applyAlignment="1">
      <alignment horizontal="center" wrapText="1"/>
    </xf>
    <xf numFmtId="0" fontId="50" fillId="0" borderId="1"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14" xfId="0" applyFont="1" applyFill="1" applyBorder="1" applyAlignment="1">
      <alignment horizontal="center" vertical="center" wrapText="1"/>
    </xf>
    <xf numFmtId="49" fontId="55" fillId="0" borderId="1" xfId="0" applyNumberFormat="1" applyFont="1" applyFill="1" applyBorder="1" applyAlignment="1">
      <alignment horizontal="center" vertical="center" wrapText="1"/>
    </xf>
    <xf numFmtId="49" fontId="55" fillId="0" borderId="14" xfId="0" applyNumberFormat="1" applyFont="1" applyFill="1" applyBorder="1" applyAlignment="1">
      <alignment horizontal="center" vertical="center" wrapText="1"/>
    </xf>
    <xf numFmtId="2" fontId="50" fillId="0" borderId="1" xfId="0" applyNumberFormat="1" applyFont="1" applyFill="1" applyBorder="1" applyAlignment="1">
      <alignment horizontal="center" vertical="center"/>
    </xf>
    <xf numFmtId="2" fontId="50" fillId="0" borderId="14" xfId="0" applyNumberFormat="1" applyFont="1" applyFill="1" applyBorder="1" applyAlignment="1">
      <alignment horizontal="center" vertical="center"/>
    </xf>
    <xf numFmtId="2" fontId="50" fillId="0" borderId="3" xfId="0" applyNumberFormat="1" applyFont="1" applyFill="1" applyBorder="1" applyAlignment="1">
      <alignment horizontal="center" vertical="center"/>
    </xf>
    <xf numFmtId="49" fontId="50" fillId="0" borderId="1" xfId="0" applyNumberFormat="1" applyFont="1" applyFill="1" applyBorder="1" applyAlignment="1">
      <alignment horizontal="center" vertical="center" wrapText="1"/>
    </xf>
    <xf numFmtId="49" fontId="50" fillId="0" borderId="14" xfId="0" applyNumberFormat="1" applyFont="1" applyFill="1" applyBorder="1" applyAlignment="1">
      <alignment horizontal="center" vertical="center" wrapText="1"/>
    </xf>
    <xf numFmtId="14" fontId="50" fillId="0" borderId="1" xfId="0" applyNumberFormat="1" applyFont="1" applyFill="1" applyBorder="1" applyAlignment="1">
      <alignment horizontal="center" vertical="center"/>
    </xf>
    <xf numFmtId="14" fontId="50" fillId="0" borderId="14" xfId="0" applyNumberFormat="1" applyFont="1" applyFill="1" applyBorder="1" applyAlignment="1">
      <alignment horizontal="center" vertical="center"/>
    </xf>
    <xf numFmtId="14" fontId="50" fillId="0" borderId="3" xfId="0" applyNumberFormat="1" applyFont="1" applyFill="1" applyBorder="1" applyAlignment="1">
      <alignment horizontal="center" vertical="center"/>
    </xf>
    <xf numFmtId="0" fontId="50" fillId="0" borderId="2" xfId="0" applyFont="1" applyFill="1" applyBorder="1" applyAlignment="1">
      <alignment horizontal="center" vertical="center" wrapText="1"/>
    </xf>
    <xf numFmtId="0" fontId="50" fillId="0" borderId="2" xfId="0" applyFont="1" applyFill="1" applyBorder="1" applyAlignment="1">
      <alignment horizontal="center" vertical="center" wrapText="1" shrinkToFit="1"/>
    </xf>
    <xf numFmtId="0" fontId="50" fillId="0" borderId="2" xfId="0" applyFont="1" applyFill="1" applyBorder="1" applyAlignment="1" applyProtection="1">
      <alignment horizontal="center" vertical="center" wrapText="1"/>
    </xf>
    <xf numFmtId="0" fontId="50" fillId="19" borderId="2" xfId="0" applyFont="1" applyFill="1" applyBorder="1" applyAlignment="1">
      <alignment horizontal="center" vertical="center" wrapText="1"/>
    </xf>
    <xf numFmtId="0" fontId="59" fillId="0" borderId="0" xfId="0" applyFont="1" applyFill="1" applyBorder="1" applyAlignment="1">
      <alignment horizontal="center" vertical="center"/>
    </xf>
    <xf numFmtId="49" fontId="50" fillId="0" borderId="2" xfId="0" applyNumberFormat="1" applyFont="1" applyFill="1" applyBorder="1" applyAlignment="1">
      <alignment horizontal="center" vertical="center" wrapText="1" shrinkToFit="1"/>
    </xf>
    <xf numFmtId="2" fontId="56" fillId="0" borderId="0" xfId="0" applyNumberFormat="1" applyFont="1" applyFill="1" applyBorder="1" applyAlignment="1">
      <alignment horizontal="center" vertical="center"/>
    </xf>
    <xf numFmtId="3" fontId="2" fillId="2" borderId="0" xfId="0" applyNumberFormat="1" applyFont="1" applyFill="1" applyBorder="1" applyAlignment="1">
      <alignment horizontal="right" vertical="center"/>
    </xf>
    <xf numFmtId="0" fontId="1" fillId="0" borderId="0" xfId="0" applyFont="1" applyFill="1" applyBorder="1" applyAlignment="1">
      <alignment horizont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shrinkToFit="1"/>
    </xf>
    <xf numFmtId="0" fontId="1" fillId="2" borderId="3" xfId="0" applyFont="1" applyFill="1" applyBorder="1" applyAlignment="1">
      <alignment horizontal="center" vertical="center" wrapText="1" shrinkToFit="1"/>
    </xf>
    <xf numFmtId="49" fontId="1" fillId="2" borderId="1" xfId="0" applyNumberFormat="1" applyFont="1" applyFill="1" applyBorder="1" applyAlignment="1">
      <alignment horizontal="left" vertical="top" wrapText="1" shrinkToFit="1"/>
    </xf>
    <xf numFmtId="49" fontId="1" fillId="2" borderId="3" xfId="0" applyNumberFormat="1" applyFont="1" applyFill="1" applyBorder="1" applyAlignment="1">
      <alignment horizontal="left" vertical="top" wrapText="1" shrinkToFit="1"/>
    </xf>
    <xf numFmtId="0" fontId="1" fillId="2" borderId="2" xfId="0" applyFont="1" applyFill="1" applyBorder="1" applyAlignment="1">
      <alignment horizontal="center" vertical="center" wrapText="1" shrinkToFit="1"/>
    </xf>
    <xf numFmtId="0" fontId="1" fillId="3" borderId="2" xfId="0" applyFont="1" applyFill="1" applyBorder="1" applyAlignment="1">
      <alignment horizontal="center" vertical="center" wrapText="1"/>
    </xf>
    <xf numFmtId="2" fontId="1" fillId="2" borderId="2" xfId="0" applyNumberFormat="1" applyFont="1" applyFill="1" applyBorder="1" applyAlignment="1">
      <alignment horizontal="center" vertical="center" wrapText="1"/>
    </xf>
    <xf numFmtId="2" fontId="1" fillId="2" borderId="19" xfId="0" applyNumberFormat="1" applyFont="1" applyFill="1" applyBorder="1" applyAlignment="1">
      <alignment horizontal="center" vertical="center"/>
    </xf>
    <xf numFmtId="2" fontId="1" fillId="2" borderId="24" xfId="0" applyNumberFormat="1" applyFont="1" applyFill="1" applyBorder="1" applyAlignment="1">
      <alignment horizontal="center" vertical="center"/>
    </xf>
    <xf numFmtId="2" fontId="1" fillId="2" borderId="25" xfId="0" applyNumberFormat="1" applyFont="1" applyFill="1" applyBorder="1" applyAlignment="1">
      <alignment horizontal="center" vertical="center"/>
    </xf>
    <xf numFmtId="2" fontId="1" fillId="2" borderId="1" xfId="0" applyNumberFormat="1" applyFont="1" applyFill="1" applyBorder="1" applyAlignment="1">
      <alignment horizontal="center" vertical="center"/>
    </xf>
    <xf numFmtId="2" fontId="1" fillId="2" borderId="3" xfId="0" applyNumberFormat="1" applyFont="1" applyFill="1" applyBorder="1" applyAlignment="1">
      <alignment horizontal="center" vertical="center"/>
    </xf>
    <xf numFmtId="2" fontId="1" fillId="2" borderId="4" xfId="0" applyNumberFormat="1" applyFont="1" applyFill="1" applyBorder="1" applyAlignment="1">
      <alignment horizontal="center" vertical="center" wrapText="1"/>
    </xf>
    <xf numFmtId="2" fontId="1" fillId="2" borderId="5"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2" fontId="1" fillId="2" borderId="3" xfId="0" applyNumberFormat="1" applyFont="1" applyFill="1" applyBorder="1" applyAlignment="1">
      <alignment horizontal="center" vertical="center" wrapText="1"/>
    </xf>
    <xf numFmtId="2" fontId="1" fillId="2" borderId="26"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1" xfId="0" applyNumberFormat="1" applyFont="1" applyFill="1" applyBorder="1" applyAlignment="1">
      <alignment horizontal="left" vertical="top" wrapText="1"/>
    </xf>
    <xf numFmtId="49" fontId="1" fillId="0" borderId="14" xfId="0" applyNumberFormat="1" applyFont="1" applyFill="1" applyBorder="1" applyAlignment="1">
      <alignment horizontal="left" vertical="top" wrapText="1"/>
    </xf>
    <xf numFmtId="0" fontId="6" fillId="0" borderId="1"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34" fillId="0" borderId="1" xfId="0" applyFont="1" applyFill="1" applyBorder="1" applyAlignment="1">
      <alignment horizontal="center" vertical="center"/>
    </xf>
    <xf numFmtId="0" fontId="34" fillId="0" borderId="14" xfId="0" applyFont="1" applyFill="1" applyBorder="1" applyAlignment="1">
      <alignment horizontal="center" vertical="center"/>
    </xf>
    <xf numFmtId="1" fontId="6" fillId="7" borderId="31" xfId="0" applyNumberFormat="1" applyFont="1" applyFill="1" applyBorder="1" applyAlignment="1">
      <alignment horizontal="center"/>
    </xf>
    <xf numFmtId="1" fontId="6" fillId="7" borderId="18" xfId="0" applyNumberFormat="1" applyFont="1" applyFill="1" applyBorder="1" applyAlignment="1">
      <alignment horizontal="center"/>
    </xf>
    <xf numFmtId="2" fontId="6" fillId="0" borderId="1" xfId="0" applyNumberFormat="1" applyFont="1" applyFill="1" applyBorder="1" applyAlignment="1">
      <alignment horizontal="center" vertical="center"/>
    </xf>
    <xf numFmtId="2" fontId="6" fillId="0" borderId="14"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4" xfId="0" applyFont="1" applyFill="1" applyBorder="1" applyAlignment="1">
      <alignment horizontal="center" vertical="center"/>
    </xf>
    <xf numFmtId="0" fontId="5" fillId="0" borderId="1" xfId="57" applyFont="1" applyFill="1" applyBorder="1" applyAlignment="1">
      <alignment horizontal="center" vertical="center"/>
    </xf>
    <xf numFmtId="0" fontId="5" fillId="0" borderId="14" xfId="57" applyFont="1" applyFill="1" applyBorder="1" applyAlignment="1">
      <alignment horizontal="center" vertical="center"/>
    </xf>
    <xf numFmtId="0" fontId="5" fillId="0" borderId="1" xfId="57" applyFont="1" applyFill="1" applyBorder="1" applyAlignment="1">
      <alignment horizontal="center" vertical="center" wrapText="1"/>
    </xf>
    <xf numFmtId="0" fontId="5" fillId="0" borderId="14" xfId="57" applyFont="1" applyFill="1" applyBorder="1" applyAlignment="1">
      <alignment horizontal="center" vertical="center" wrapText="1"/>
    </xf>
    <xf numFmtId="0" fontId="12" fillId="0" borderId="1" xfId="0" applyFont="1" applyFill="1" applyBorder="1" applyAlignment="1">
      <alignment horizontal="center" wrapText="1"/>
    </xf>
    <xf numFmtId="0" fontId="12" fillId="0" borderId="14" xfId="0" applyFont="1" applyFill="1" applyBorder="1" applyAlignment="1">
      <alignment horizontal="center" wrapText="1"/>
    </xf>
    <xf numFmtId="2" fontId="11" fillId="0" borderId="1" xfId="0" applyNumberFormat="1" applyFont="1" applyFill="1" applyBorder="1" applyAlignment="1">
      <alignment horizontal="center"/>
    </xf>
    <xf numFmtId="2" fontId="11" fillId="0" borderId="14" xfId="0" applyNumberFormat="1" applyFont="1" applyFill="1" applyBorder="1" applyAlignment="1">
      <alignment horizontal="center"/>
    </xf>
    <xf numFmtId="2" fontId="11" fillId="0" borderId="1" xfId="0" applyNumberFormat="1" applyFont="1" applyFill="1" applyBorder="1" applyAlignment="1">
      <alignment horizontal="center" vertical="center"/>
    </xf>
    <xf numFmtId="2" fontId="11" fillId="0" borderId="14" xfId="0" applyNumberFormat="1" applyFont="1" applyFill="1" applyBorder="1" applyAlignment="1">
      <alignment horizontal="center" vertical="center"/>
    </xf>
    <xf numFmtId="2" fontId="35" fillId="0" borderId="1" xfId="0" applyNumberFormat="1" applyFont="1" applyFill="1" applyBorder="1" applyAlignment="1">
      <alignment horizontal="center" vertical="center" wrapText="1"/>
    </xf>
    <xf numFmtId="2" fontId="35" fillId="0" borderId="14" xfId="0" applyNumberFormat="1" applyFont="1" applyFill="1" applyBorder="1" applyAlignment="1">
      <alignment horizontal="center" vertical="center" wrapText="1"/>
    </xf>
    <xf numFmtId="1" fontId="6" fillId="7" borderId="33" xfId="0" applyNumberFormat="1" applyFont="1" applyFill="1" applyBorder="1" applyAlignment="1">
      <alignment horizontal="center"/>
    </xf>
    <xf numFmtId="1" fontId="6" fillId="7" borderId="34" xfId="0" applyNumberFormat="1" applyFont="1" applyFill="1" applyBorder="1" applyAlignment="1">
      <alignment horizontal="center"/>
    </xf>
    <xf numFmtId="1" fontId="6" fillId="7" borderId="23" xfId="0" applyNumberFormat="1" applyFont="1" applyFill="1" applyBorder="1" applyAlignment="1">
      <alignment horizontal="center"/>
    </xf>
    <xf numFmtId="0" fontId="7" fillId="7" borderId="27" xfId="0" applyFont="1" applyFill="1" applyBorder="1" applyAlignment="1">
      <alignment horizontal="center"/>
    </xf>
    <xf numFmtId="0" fontId="7" fillId="7" borderId="6" xfId="0" applyFont="1" applyFill="1" applyBorder="1" applyAlignment="1">
      <alignment horizontal="center"/>
    </xf>
    <xf numFmtId="0" fontId="7" fillId="7" borderId="30" xfId="0" applyFont="1" applyFill="1" applyBorder="1" applyAlignment="1">
      <alignment horizontal="center"/>
    </xf>
    <xf numFmtId="0" fontId="7" fillId="7" borderId="28" xfId="0" applyFont="1" applyFill="1" applyBorder="1" applyAlignment="1">
      <alignment horizontal="center"/>
    </xf>
    <xf numFmtId="0" fontId="7" fillId="7" borderId="0" xfId="0" applyFont="1" applyFill="1" applyBorder="1" applyAlignment="1">
      <alignment horizontal="center"/>
    </xf>
    <xf numFmtId="0" fontId="7" fillId="7" borderId="9" xfId="0" applyFont="1" applyFill="1" applyBorder="1" applyAlignment="1">
      <alignment horizontal="center"/>
    </xf>
    <xf numFmtId="0" fontId="7" fillId="7" borderId="29" xfId="0" applyFont="1" applyFill="1" applyBorder="1" applyAlignment="1">
      <alignment horizontal="center"/>
    </xf>
    <xf numFmtId="0" fontId="7" fillId="7" borderId="11" xfId="0" applyFont="1" applyFill="1" applyBorder="1" applyAlignment="1">
      <alignment horizontal="center"/>
    </xf>
    <xf numFmtId="0" fontId="7" fillId="7" borderId="22" xfId="0" applyFont="1" applyFill="1" applyBorder="1" applyAlignment="1">
      <alignment horizontal="center"/>
    </xf>
    <xf numFmtId="0" fontId="10" fillId="7" borderId="21" xfId="0" applyFont="1" applyFill="1" applyBorder="1" applyAlignment="1">
      <alignment horizontal="left"/>
    </xf>
    <xf numFmtId="0" fontId="10" fillId="7" borderId="3" xfId="0" applyFont="1" applyFill="1" applyBorder="1" applyAlignment="1">
      <alignment horizontal="left"/>
    </xf>
    <xf numFmtId="0" fontId="10" fillId="7" borderId="15" xfId="0" applyFont="1" applyFill="1" applyBorder="1" applyAlignment="1">
      <alignment horizontal="left"/>
    </xf>
    <xf numFmtId="49" fontId="7" fillId="7" borderId="17" xfId="0" applyNumberFormat="1" applyFont="1" applyFill="1" applyBorder="1" applyAlignment="1">
      <alignment horizontal="left" vertical="top" wrapText="1"/>
    </xf>
    <xf numFmtId="49" fontId="7" fillId="7" borderId="10" xfId="0" applyNumberFormat="1" applyFont="1" applyFill="1" applyBorder="1" applyAlignment="1">
      <alignment horizontal="left" vertical="top" wrapText="1"/>
    </xf>
    <xf numFmtId="49" fontId="7" fillId="7" borderId="16" xfId="0" applyNumberFormat="1" applyFont="1" applyFill="1" applyBorder="1" applyAlignment="1">
      <alignment horizontal="left" vertical="top" wrapText="1"/>
    </xf>
    <xf numFmtId="0" fontId="0" fillId="7" borderId="6" xfId="0" applyFill="1" applyBorder="1" applyAlignment="1">
      <alignment horizontal="left"/>
    </xf>
    <xf numFmtId="0" fontId="0" fillId="7" borderId="0" xfId="0" applyFill="1" applyBorder="1" applyAlignment="1">
      <alignment horizontal="left"/>
    </xf>
    <xf numFmtId="0" fontId="0" fillId="7" borderId="11" xfId="0" applyFill="1" applyBorder="1" applyAlignment="1">
      <alignment horizontal="left"/>
    </xf>
    <xf numFmtId="0" fontId="0" fillId="7" borderId="6" xfId="0" applyFill="1" applyBorder="1" applyAlignment="1">
      <alignment horizontal="center"/>
    </xf>
    <xf numFmtId="0" fontId="0" fillId="7" borderId="0" xfId="0" applyFill="1" applyBorder="1" applyAlignment="1">
      <alignment horizontal="center"/>
    </xf>
    <xf numFmtId="0" fontId="0" fillId="7" borderId="11" xfId="0" applyFill="1" applyBorder="1" applyAlignment="1">
      <alignment horizontal="center"/>
    </xf>
    <xf numFmtId="1" fontId="6" fillId="7" borderId="20" xfId="0" applyNumberFormat="1" applyFont="1" applyFill="1" applyBorder="1" applyAlignment="1">
      <alignment horizontal="center"/>
    </xf>
  </cellXfs>
  <cellStyles count="67">
    <cellStyle name="”€ќђќ‘ћ‚›‰" xfId="6"/>
    <cellStyle name="”€ќђќ‘ћ‚›‰ 2" xfId="7"/>
    <cellStyle name="”€љ‘€ђћ‚ђќќ›‰" xfId="8"/>
    <cellStyle name="”€љ‘€ђћ‚ђќќ›‰ 2" xfId="9"/>
    <cellStyle name="”ќђќ‘ћ‚›‰" xfId="10"/>
    <cellStyle name="”ќђќ‘ћ‚›‰ 2" xfId="11"/>
    <cellStyle name="”ќђќ‘ћ‚›‰ 3" xfId="12"/>
    <cellStyle name="”љ‘ђћ‚ђќќ›‰" xfId="13"/>
    <cellStyle name="”љ‘ђћ‚ђќќ›‰ 2" xfId="14"/>
    <cellStyle name="”љ‘ђћ‚ђќќ›‰ 3" xfId="15"/>
    <cellStyle name="„…ќ…†ќ›‰" xfId="16"/>
    <cellStyle name="„…ќ…†ќ›‰ 2" xfId="17"/>
    <cellStyle name="„ђ’ђ" xfId="18"/>
    <cellStyle name="„ђ’ђ 2" xfId="19"/>
    <cellStyle name="„ђ’ђ 3" xfId="20"/>
    <cellStyle name="€’ћѓћ‚›‰" xfId="25"/>
    <cellStyle name="€’ћѓћ‚›‰ 2" xfId="26"/>
    <cellStyle name="‡ђѓћ‹ћ‚ћљ1" xfId="21"/>
    <cellStyle name="‡ђѓћ‹ћ‚ћљ1 2" xfId="22"/>
    <cellStyle name="‡ђѓћ‹ћ‚ћљ2" xfId="23"/>
    <cellStyle name="‡ђѓћ‹ћ‚ћљ2 2" xfId="24"/>
    <cellStyle name="’ћѓћ‚›‰" xfId="3"/>
    <cellStyle name="’ћѓћ‚›‰ 2" xfId="4"/>
    <cellStyle name="’ћѓћ‚›‰ 3" xfId="5"/>
    <cellStyle name="Comma [0]_laroux" xfId="27"/>
    <cellStyle name="Comma_laroux" xfId="28"/>
    <cellStyle name="Currency [0]" xfId="29"/>
    <cellStyle name="Currency_laroux" xfId="30"/>
    <cellStyle name="F2" xfId="31"/>
    <cellStyle name="F2 2" xfId="32"/>
    <cellStyle name="F2 3" xfId="33"/>
    <cellStyle name="F3" xfId="34"/>
    <cellStyle name="F3 2" xfId="35"/>
    <cellStyle name="F3 3" xfId="36"/>
    <cellStyle name="F4" xfId="37"/>
    <cellStyle name="F4 2" xfId="38"/>
    <cellStyle name="F4 3" xfId="39"/>
    <cellStyle name="F5" xfId="40"/>
    <cellStyle name="F5 2" xfId="41"/>
    <cellStyle name="F5 3" xfId="42"/>
    <cellStyle name="F6" xfId="43"/>
    <cellStyle name="F6 2" xfId="44"/>
    <cellStyle name="F6 3" xfId="45"/>
    <cellStyle name="F7" xfId="46"/>
    <cellStyle name="F7 2" xfId="47"/>
    <cellStyle name="F7 3" xfId="48"/>
    <cellStyle name="F8" xfId="49"/>
    <cellStyle name="F8 2" xfId="50"/>
    <cellStyle name="F8 3" xfId="51"/>
    <cellStyle name="Normal_ASUS" xfId="52"/>
    <cellStyle name="Normal1" xfId="53"/>
    <cellStyle name="Price_Body" xfId="54"/>
    <cellStyle name="Беззащитный" xfId="55"/>
    <cellStyle name="Гиперссылка" xfId="1" builtinId="8"/>
    <cellStyle name="Защитный" xfId="56"/>
    <cellStyle name="Обычный" xfId="0" builtinId="0"/>
    <cellStyle name="Обычный 2" xfId="57"/>
    <cellStyle name="Обычный 3" xfId="2"/>
    <cellStyle name="Обычный 4" xfId="66"/>
    <cellStyle name="Обычный_Форма план ремонтных работ на 3 и 4 кв 2005" xfId="64"/>
    <cellStyle name="Поле ввода" xfId="58"/>
    <cellStyle name="Стиль 1" xfId="59"/>
    <cellStyle name="Тысячи [0]_3Com" xfId="60"/>
    <cellStyle name="Тысячи_3Com" xfId="61"/>
    <cellStyle name="Финансовый 2" xfId="65"/>
    <cellStyle name="Џђћ–…ќ’ќ›‰" xfId="62"/>
    <cellStyle name="Џђћ–…ќ’ќ›‰ 2" xfId="63"/>
  </cellStyles>
  <dxfs count="214">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s>
  <tableStyles count="0" defaultTableStyle="TableStyleMedium2" defaultPivotStyle="PivotStyleMedium9"/>
  <colors>
    <mruColors>
      <color rgb="FFFF99FF"/>
      <color rgb="FFFF0066"/>
      <color rgb="FF00FFFF"/>
      <color rgb="FFD8E4BC"/>
      <color rgb="FF99FF33"/>
      <color rgb="FFF2DCDB"/>
      <color rgb="FF99FFCC"/>
      <color rgb="FF92D050"/>
      <color rgb="FFCC6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senko_sa.RSK/Documents/&#1056;&#1077;&#1084;&#1086;&#1085;&#1090;/&#1050;&#1072;&#1087;&#1088;&#1077;&#1084;&#1086;&#1085;&#1090;/2021/&#1055;&#1083;&#1072;&#1085;/&#1043;&#1055;&#1056;/&#1040;&#1056;&#1069;&#1057;%20&#1043;&#1055;&#1056;-2021%20&#1086;&#1090;%2026.03.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tyukhina_sa/Documents/2021/3%20&#1043;&#1055;&#1056;-2020%20&#1055;&#1057;&#1055;/&#1055;&#1088;&#1080;&#1083;&#1086;&#1078;&#1077;&#1085;&#1080;&#1077;%201%20&#1043;&#1086;&#1076;&#1086;&#1074;&#1072;&#1103;%20&#1087;&#1088;&#1086;&#1075;&#1088;&#1072;&#1084;&#1084;&#1072;%20&#1088;&#1077;&#1084;&#1086;&#1085;&#1090;&#1086;&#1074;%202021%20&#1055;&#1057;&#105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sk51srv023\Shares\PTS\1%20&#1055;&#1058;&#1057;%20&#1054;&#1041;&#1065;&#1040;&#1071;\2021\1%20&#1043;&#1055;&#1056;-2021%20&#1060;&#1086;&#1088;&#1084;&#1080;&#1088;&#1086;&#1074;&#1072;&#1085;&#1080;&#1077;\&#1086;&#1090;%20&#1056;&#1069;&#1057;&#1086;&#1074;%20&#1080;%20&#1089;&#1083;&#1091;&#1078;&#1073;\&#1040;&#1056;&#1069;&#1057;%20&#1043;&#1055;&#1056;-2021%20&#1086;&#1090;%2006.03.2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asenko_sa.RSK/Documents/&#1056;&#1077;&#1084;&#1086;&#1085;&#1090;/&#1050;&#1072;&#1087;&#1088;&#1077;&#1084;&#1086;&#1085;&#1090;/2021/&#1055;&#1083;&#1072;&#1085;/&#1043;&#1055;&#1056;/&#1040;&#1056;&#1069;&#1057;%20&#1043;&#1055;&#1056;-2021%20&#1086;&#1090;%2006.03.2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plyuyko_os/Desktop/&#1043;&#1055;&#1056;-2021%20&#1087;&#1086;%20&#1085;&#1086;&#1074;&#1086;&#1081;%20&#1092;&#1086;&#1088;&#1084;&#107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basenko_sa.RSK/Documents/&#1056;&#1077;&#1084;&#1086;&#1085;&#1090;/&#1050;&#1072;&#1087;&#1088;&#1077;&#1084;&#1086;&#1085;&#1090;/2021/&#1055;&#1083;&#1072;&#1085;/&#1043;&#1055;&#1056;/&#1040;&#1056;&#1069;&#1057;%20&#1043;&#1055;&#1056;-2021%20&#1086;&#1090;%2004.03.2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PTS\1%20&#1055;&#1058;&#1057;%20&#1054;&#1041;&#1065;&#1040;&#1071;\2021\1%20&#1043;&#1055;&#1056;-2021%20&#1060;&#1086;&#1088;&#1084;&#1080;&#1088;&#1086;&#1074;&#1072;&#1085;&#1080;&#1077;\&#1040;&#1056;&#1069;&#1057;%20&#1043;&#1055;&#1056;-2021%20&#1086;&#1090;%2003.03.2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45;/&#1056;&#1077;&#1084;&#1086;&#1085;&#1090;/2021/&#1055;&#1088;&#1080;&#1083;&#1086;&#1078;&#1077;&#1085;&#1080;&#1077;%201%20&#1043;&#1086;&#1076;&#1086;&#1074;&#1072;&#1103;%20&#1087;&#1088;&#1086;&#1075;&#1088;&#1072;&#1084;&#1084;&#1072;%20&#1088;&#1077;&#1084;&#1086;&#1085;&#1090;&#1086;&#1074;%20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pischur_vn/Desktop/&#1058;&#1077;&#1082;&#1091;&#1097;&#1072;&#1103;%20&#1088;&#1072;&#1073;&#1086;&#1090;&#1072;/2021%20&#1075;&#1086;&#1076;/&#1043;&#1055;&#1056;-2021%20&#1076;&#1083;&#1103;%20&#1091;&#1090;&#1074;&#1077;&#1088;&#1078;&#1076;&#1077;&#1085;&#1080;&#1103;/&#1057;&#1055;%20&#1062;&#1069;&#1057;/!!!%20&#1043;&#1055;&#1056;%202021%20&#1086;&#1090;%2030.07.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ПР - 2020"/>
      <sheetName val="справочник "/>
      <sheetName val="ГПР - 2020 (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ПР - 2021"/>
      <sheetName val="справочник "/>
      <sheetName val="ГПР - 2020 (2)"/>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ПР - 2020"/>
      <sheetName val="справочник "/>
      <sheetName val="ГПР - 2020 (2)"/>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ПР - 2020"/>
      <sheetName val="справочник "/>
      <sheetName val="ГПР - 2020 (2)"/>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
      <sheetName val="ГПР 2021 ПС"/>
      <sheetName val="ГПР - 2020 (2)"/>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ПР - 2020"/>
      <sheetName val="справочник "/>
      <sheetName val="ГПР - 2020 (2)"/>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ПР - 2020"/>
      <sheetName val="справочник "/>
      <sheetName val="ГПР - 2020 (2)"/>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ПР - 2021"/>
      <sheetName val="Лист1"/>
      <sheetName val="справочник "/>
      <sheetName val="ГПР - 2020 (2)"/>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ПР - 2021"/>
      <sheetName val="разбивка"/>
      <sheetName val="справочник "/>
      <sheetName val="ГПР - 2020 (2)"/>
    </sheetNames>
    <sheetDataSet>
      <sheetData sheetId="0"/>
      <sheetData sheetId="1"/>
      <sheetData sheetId="2"/>
      <sheetData sheetId="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5.bin"/><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10" Type="http://schemas.openxmlformats.org/officeDocument/2006/relationships/comments" Target="../comments1.xml"/><Relationship Id="rId4" Type="http://schemas.openxmlformats.org/officeDocument/2006/relationships/printerSettings" Target="../printerSettings/printerSettings21.bin"/><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Z2830"/>
  <sheetViews>
    <sheetView tabSelected="1" view="pageBreakPreview" zoomScale="40" zoomScaleNormal="25" zoomScaleSheetLayoutView="40" zoomScalePageLayoutView="10" workbookViewId="0">
      <pane xSplit="9" ySplit="6" topLeftCell="J7" activePane="bottomRight" state="frozen"/>
      <selection pane="topRight" activeCell="L1" sqref="L1"/>
      <selection pane="bottomLeft" activeCell="A15" sqref="A15"/>
      <selection pane="bottomRight" activeCell="D46" sqref="D46"/>
    </sheetView>
  </sheetViews>
  <sheetFormatPr defaultColWidth="9.140625" defaultRowHeight="20.25" outlineLevelRow="3"/>
  <cols>
    <col min="1" max="1" width="14.85546875" style="445" customWidth="1"/>
    <col min="2" max="2" width="16.42578125" style="374" customWidth="1"/>
    <col min="3" max="3" width="15.7109375" style="375" customWidth="1"/>
    <col min="4" max="4" width="39.85546875" style="375" customWidth="1"/>
    <col min="5" max="5" width="19.85546875" style="375" customWidth="1"/>
    <col min="6" max="6" width="27.7109375" style="441" customWidth="1"/>
    <col min="7" max="7" width="27.140625" style="508" customWidth="1"/>
    <col min="8" max="8" width="59.7109375" style="376" customWidth="1"/>
    <col min="9" max="9" width="78.85546875" style="508" customWidth="1"/>
    <col min="10" max="10" width="26.5703125" style="374" customWidth="1"/>
    <col min="11" max="11" width="25.42578125" style="462" customWidth="1"/>
    <col min="12" max="12" width="26.140625" style="462" customWidth="1"/>
    <col min="13" max="13" width="13.7109375" style="374" hidden="1" customWidth="1"/>
    <col min="14" max="14" width="14.85546875" style="374" hidden="1" customWidth="1"/>
    <col min="15" max="16384" width="9.140625" style="377"/>
  </cols>
  <sheetData>
    <row r="1" spans="1:97" ht="21" customHeight="1">
      <c r="B1" s="378"/>
    </row>
    <row r="2" spans="1:97" ht="44.25" customHeight="1">
      <c r="A2" s="587" t="s">
        <v>3691</v>
      </c>
      <c r="B2" s="587"/>
      <c r="C2" s="587"/>
      <c r="D2" s="587"/>
      <c r="E2" s="587"/>
      <c r="F2" s="587"/>
      <c r="G2" s="587"/>
      <c r="H2" s="587"/>
      <c r="I2" s="587"/>
      <c r="J2" s="587"/>
      <c r="K2" s="587"/>
      <c r="L2" s="587"/>
      <c r="M2" s="587"/>
      <c r="N2" s="587"/>
    </row>
    <row r="3" spans="1:97" ht="25.5" customHeight="1">
      <c r="A3" s="446"/>
      <c r="B3" s="379"/>
      <c r="C3" s="523"/>
      <c r="D3" s="523"/>
      <c r="E3" s="523"/>
      <c r="F3" s="442"/>
      <c r="G3" s="524"/>
      <c r="H3" s="381"/>
      <c r="N3" s="373"/>
    </row>
    <row r="4" spans="1:97" s="429" customFormat="1" ht="24.75" customHeight="1">
      <c r="A4" s="583" t="s">
        <v>7</v>
      </c>
      <c r="B4" s="583" t="s">
        <v>8</v>
      </c>
      <c r="C4" s="583" t="s">
        <v>9</v>
      </c>
      <c r="D4" s="583" t="s">
        <v>10</v>
      </c>
      <c r="E4" s="584" t="s">
        <v>11</v>
      </c>
      <c r="F4" s="584" t="s">
        <v>13</v>
      </c>
      <c r="G4" s="584"/>
      <c r="H4" s="588" t="s">
        <v>12</v>
      </c>
      <c r="I4" s="583" t="s">
        <v>16</v>
      </c>
      <c r="J4" s="585" t="s">
        <v>315</v>
      </c>
      <c r="K4" s="585" t="s">
        <v>373</v>
      </c>
      <c r="L4" s="585"/>
      <c r="M4" s="586" t="s">
        <v>17</v>
      </c>
      <c r="N4" s="586" t="s">
        <v>18</v>
      </c>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77"/>
      <c r="BA4" s="377"/>
      <c r="BB4" s="377"/>
      <c r="BC4" s="377"/>
      <c r="BD4" s="377"/>
      <c r="BE4" s="377"/>
      <c r="BF4" s="377"/>
      <c r="BG4" s="377"/>
      <c r="BH4" s="377"/>
      <c r="BI4" s="377"/>
      <c r="BJ4" s="377"/>
      <c r="BK4" s="377"/>
      <c r="BL4" s="377"/>
      <c r="BM4" s="377"/>
      <c r="BN4" s="377"/>
      <c r="BO4" s="377"/>
      <c r="BP4" s="377"/>
      <c r="BQ4" s="377"/>
    </row>
    <row r="5" spans="1:97" s="429" customFormat="1" ht="17.25" customHeight="1">
      <c r="A5" s="583"/>
      <c r="B5" s="583"/>
      <c r="C5" s="583"/>
      <c r="D5" s="583"/>
      <c r="E5" s="584"/>
      <c r="F5" s="584"/>
      <c r="G5" s="584"/>
      <c r="H5" s="588"/>
      <c r="I5" s="583"/>
      <c r="J5" s="585"/>
      <c r="K5" s="585"/>
      <c r="L5" s="585"/>
      <c r="M5" s="586"/>
      <c r="N5" s="586"/>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7"/>
      <c r="AX5" s="377"/>
      <c r="AY5" s="377"/>
      <c r="AZ5" s="377"/>
      <c r="BA5" s="377"/>
      <c r="BB5" s="377"/>
      <c r="BC5" s="377"/>
      <c r="BD5" s="377"/>
      <c r="BE5" s="377"/>
      <c r="BF5" s="377"/>
      <c r="BG5" s="377"/>
      <c r="BH5" s="377"/>
      <c r="BI5" s="377"/>
      <c r="BJ5" s="377"/>
      <c r="BK5" s="377"/>
      <c r="BL5" s="377"/>
      <c r="BM5" s="377"/>
      <c r="BN5" s="377"/>
      <c r="BO5" s="377"/>
      <c r="BP5" s="377"/>
      <c r="BQ5" s="377"/>
    </row>
    <row r="6" spans="1:97" s="429" customFormat="1" ht="81.75" customHeight="1">
      <c r="A6" s="583"/>
      <c r="B6" s="583"/>
      <c r="C6" s="583"/>
      <c r="D6" s="583"/>
      <c r="E6" s="584"/>
      <c r="F6" s="556" t="s">
        <v>372</v>
      </c>
      <c r="G6" s="556" t="s">
        <v>28</v>
      </c>
      <c r="H6" s="588"/>
      <c r="I6" s="583"/>
      <c r="J6" s="539" t="s">
        <v>318</v>
      </c>
      <c r="K6" s="557" t="s">
        <v>316</v>
      </c>
      <c r="L6" s="557" t="s">
        <v>317</v>
      </c>
      <c r="M6" s="586"/>
      <c r="N6" s="586"/>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377"/>
      <c r="BG6" s="377"/>
      <c r="BH6" s="377"/>
      <c r="BI6" s="377"/>
      <c r="BJ6" s="377"/>
      <c r="BK6" s="377"/>
      <c r="BL6" s="377"/>
      <c r="BM6" s="377"/>
      <c r="BN6" s="377"/>
      <c r="BO6" s="377"/>
      <c r="BP6" s="377"/>
      <c r="BQ6" s="377"/>
    </row>
    <row r="7" spans="1:97" ht="19.5" customHeight="1">
      <c r="A7" s="385">
        <v>1</v>
      </c>
      <c r="B7" s="385">
        <f t="shared" ref="B7:N7" si="0">A7+1</f>
        <v>2</v>
      </c>
      <c r="C7" s="385">
        <f t="shared" si="0"/>
        <v>3</v>
      </c>
      <c r="D7" s="385">
        <f t="shared" si="0"/>
        <v>4</v>
      </c>
      <c r="E7" s="385">
        <f t="shared" si="0"/>
        <v>5</v>
      </c>
      <c r="F7" s="385">
        <f t="shared" si="0"/>
        <v>6</v>
      </c>
      <c r="G7" s="385">
        <f t="shared" si="0"/>
        <v>7</v>
      </c>
      <c r="H7" s="385">
        <f t="shared" ref="H7" si="1">G7+1</f>
        <v>8</v>
      </c>
      <c r="I7" s="385">
        <f t="shared" ref="I7" si="2">H7+1</f>
        <v>9</v>
      </c>
      <c r="J7" s="385">
        <f t="shared" ref="J7" si="3">I7+1</f>
        <v>10</v>
      </c>
      <c r="K7" s="385">
        <f t="shared" ref="K7" si="4">J7+1</f>
        <v>11</v>
      </c>
      <c r="L7" s="385">
        <f t="shared" ref="L7" si="5">K7+1</f>
        <v>12</v>
      </c>
      <c r="M7" s="383" t="e">
        <f>#REF!+1</f>
        <v>#REF!</v>
      </c>
      <c r="N7" s="383" t="e">
        <f t="shared" si="0"/>
        <v>#REF!</v>
      </c>
    </row>
    <row r="8" spans="1:97" s="384" customFormat="1" hidden="1">
      <c r="A8" s="490"/>
      <c r="B8" s="490"/>
      <c r="C8" s="490"/>
      <c r="D8" s="490"/>
      <c r="E8" s="490"/>
      <c r="F8" s="385"/>
      <c r="G8" s="385"/>
      <c r="H8" s="386" t="s">
        <v>345</v>
      </c>
      <c r="I8" s="402"/>
      <c r="J8" s="489"/>
      <c r="K8" s="450"/>
      <c r="L8" s="450"/>
      <c r="M8" s="436"/>
      <c r="N8" s="43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77"/>
      <c r="AU8" s="377"/>
      <c r="AV8" s="377"/>
      <c r="AW8" s="377"/>
      <c r="AX8" s="377"/>
      <c r="AY8" s="377"/>
      <c r="AZ8" s="377"/>
      <c r="BA8" s="377"/>
      <c r="BB8" s="377"/>
      <c r="BC8" s="377"/>
      <c r="BD8" s="377"/>
      <c r="BE8" s="377"/>
      <c r="BF8" s="377"/>
      <c r="BG8" s="377"/>
      <c r="BH8" s="377"/>
      <c r="BI8" s="377"/>
      <c r="BJ8" s="377"/>
      <c r="BK8" s="377"/>
      <c r="BL8" s="377"/>
      <c r="BM8" s="377"/>
      <c r="BN8" s="377"/>
      <c r="BO8" s="377"/>
      <c r="BP8" s="377"/>
      <c r="BQ8" s="377"/>
    </row>
    <row r="9" spans="1:97" s="384" customFormat="1" hidden="1">
      <c r="A9" s="490"/>
      <c r="B9" s="490"/>
      <c r="C9" s="490"/>
      <c r="D9" s="490"/>
      <c r="E9" s="490"/>
      <c r="F9" s="385"/>
      <c r="G9" s="385"/>
      <c r="H9" s="440" t="s">
        <v>51</v>
      </c>
      <c r="I9" s="402"/>
      <c r="J9" s="489"/>
      <c r="K9" s="450"/>
      <c r="L9" s="450"/>
      <c r="M9" s="489"/>
      <c r="N9" s="438"/>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377"/>
      <c r="AR9" s="377"/>
      <c r="AS9" s="377"/>
      <c r="AT9" s="377"/>
      <c r="AU9" s="377"/>
      <c r="AV9" s="377"/>
      <c r="AW9" s="377"/>
      <c r="AX9" s="377"/>
      <c r="AY9" s="377"/>
      <c r="AZ9" s="377"/>
      <c r="BA9" s="377"/>
      <c r="BB9" s="377"/>
      <c r="BC9" s="377"/>
      <c r="BD9" s="377"/>
      <c r="BE9" s="377"/>
      <c r="BF9" s="377"/>
      <c r="BG9" s="377"/>
      <c r="BH9" s="377"/>
      <c r="BI9" s="377"/>
      <c r="BJ9" s="377"/>
      <c r="BK9" s="377"/>
      <c r="BL9" s="377"/>
      <c r="BM9" s="377"/>
      <c r="BN9" s="377"/>
      <c r="BO9" s="377"/>
      <c r="BP9" s="377"/>
      <c r="BQ9" s="377"/>
    </row>
    <row r="10" spans="1:97" s="384" customFormat="1" hidden="1">
      <c r="A10" s="490"/>
      <c r="B10" s="490"/>
      <c r="C10" s="490"/>
      <c r="D10" s="490"/>
      <c r="E10" s="490"/>
      <c r="F10" s="385"/>
      <c r="G10" s="385"/>
      <c r="H10" s="440" t="s">
        <v>341</v>
      </c>
      <c r="I10" s="402"/>
      <c r="J10" s="489"/>
      <c r="K10" s="450"/>
      <c r="L10" s="450"/>
      <c r="M10" s="489"/>
      <c r="N10" s="438"/>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377"/>
      <c r="AO10" s="377"/>
      <c r="AP10" s="377"/>
      <c r="AQ10" s="377"/>
      <c r="AR10" s="377"/>
      <c r="AS10" s="377"/>
      <c r="AT10" s="377"/>
      <c r="AU10" s="377"/>
      <c r="AV10" s="377"/>
      <c r="AW10" s="377"/>
      <c r="AX10" s="377"/>
      <c r="AY10" s="377"/>
      <c r="AZ10" s="377"/>
      <c r="BA10" s="377"/>
      <c r="BB10" s="377"/>
      <c r="BC10" s="377"/>
      <c r="BD10" s="377"/>
      <c r="BE10" s="377"/>
      <c r="BF10" s="377"/>
      <c r="BG10" s="377"/>
      <c r="BH10" s="377"/>
      <c r="BI10" s="377"/>
      <c r="BJ10" s="377"/>
      <c r="BK10" s="377"/>
      <c r="BL10" s="377"/>
      <c r="BM10" s="377"/>
      <c r="BN10" s="377"/>
      <c r="BO10" s="377"/>
      <c r="BP10" s="377"/>
      <c r="BQ10" s="377"/>
    </row>
    <row r="11" spans="1:97" s="384" customFormat="1" hidden="1">
      <c r="A11" s="490"/>
      <c r="B11" s="490"/>
      <c r="C11" s="490"/>
      <c r="D11" s="490"/>
      <c r="E11" s="490"/>
      <c r="F11" s="385"/>
      <c r="G11" s="385"/>
      <c r="H11" s="386" t="s">
        <v>54</v>
      </c>
      <c r="I11" s="402"/>
      <c r="J11" s="489"/>
      <c r="K11" s="450"/>
      <c r="L11" s="450"/>
      <c r="M11" s="489"/>
      <c r="N11" s="438"/>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77"/>
      <c r="AY11" s="377"/>
      <c r="AZ11" s="377"/>
      <c r="BA11" s="377"/>
      <c r="BB11" s="377"/>
      <c r="BC11" s="377"/>
      <c r="BD11" s="377"/>
      <c r="BE11" s="377"/>
      <c r="BF11" s="377"/>
      <c r="BG11" s="377"/>
      <c r="BH11" s="377"/>
      <c r="BI11" s="377"/>
      <c r="BJ11" s="377"/>
      <c r="BK11" s="377"/>
      <c r="BL11" s="377"/>
      <c r="BM11" s="377"/>
      <c r="BN11" s="377"/>
      <c r="BO11" s="377"/>
      <c r="BP11" s="377"/>
      <c r="BQ11" s="377"/>
    </row>
    <row r="12" spans="1:97" s="384" customFormat="1" hidden="1">
      <c r="A12" s="490"/>
      <c r="B12" s="490"/>
      <c r="C12" s="490"/>
      <c r="D12" s="490"/>
      <c r="E12" s="490"/>
      <c r="F12" s="385"/>
      <c r="G12" s="385"/>
      <c r="H12" s="386" t="s">
        <v>342</v>
      </c>
      <c r="I12" s="402"/>
      <c r="J12" s="489"/>
      <c r="K12" s="450"/>
      <c r="L12" s="450"/>
      <c r="M12" s="489"/>
      <c r="N12" s="438"/>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7"/>
      <c r="AR12" s="377"/>
      <c r="AS12" s="377"/>
      <c r="AT12" s="377"/>
      <c r="AU12" s="377"/>
      <c r="AV12" s="377"/>
      <c r="AW12" s="377"/>
      <c r="AX12" s="377"/>
      <c r="AY12" s="377"/>
      <c r="AZ12" s="377"/>
      <c r="BA12" s="377"/>
      <c r="BB12" s="377"/>
      <c r="BC12" s="377"/>
      <c r="BD12" s="377"/>
      <c r="BE12" s="377"/>
      <c r="BF12" s="377"/>
      <c r="BG12" s="377"/>
      <c r="BH12" s="377"/>
      <c r="BI12" s="377"/>
      <c r="BJ12" s="377"/>
      <c r="BK12" s="377"/>
      <c r="BL12" s="377"/>
      <c r="BM12" s="377"/>
      <c r="BN12" s="377"/>
      <c r="BO12" s="377"/>
      <c r="BP12" s="377"/>
      <c r="BQ12" s="377"/>
      <c r="BR12" s="377"/>
      <c r="BS12" s="377"/>
      <c r="BT12" s="377"/>
      <c r="BU12" s="377"/>
      <c r="BV12" s="377"/>
      <c r="BW12" s="377"/>
      <c r="BX12" s="377"/>
      <c r="BY12" s="377"/>
      <c r="BZ12" s="377"/>
      <c r="CA12" s="377"/>
      <c r="CB12" s="377"/>
      <c r="CC12" s="377"/>
      <c r="CD12" s="377"/>
      <c r="CE12" s="377"/>
      <c r="CF12" s="377"/>
      <c r="CG12" s="377"/>
      <c r="CH12" s="377"/>
      <c r="CI12" s="377"/>
    </row>
    <row r="13" spans="1:97" s="384" customFormat="1" hidden="1">
      <c r="A13" s="490"/>
      <c r="B13" s="490"/>
      <c r="C13" s="490"/>
      <c r="D13" s="490"/>
      <c r="E13" s="490"/>
      <c r="F13" s="385"/>
      <c r="G13" s="385"/>
      <c r="H13" s="386" t="s">
        <v>374</v>
      </c>
      <c r="I13" s="402"/>
      <c r="J13" s="489"/>
      <c r="K13" s="450"/>
      <c r="L13" s="450"/>
      <c r="M13" s="436"/>
      <c r="N13" s="43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377"/>
      <c r="AY13" s="377"/>
      <c r="AZ13" s="377"/>
      <c r="BA13" s="377"/>
      <c r="BB13" s="377"/>
      <c r="BC13" s="377"/>
      <c r="BD13" s="377"/>
      <c r="BE13" s="377"/>
      <c r="BF13" s="377"/>
      <c r="BG13" s="377"/>
      <c r="BH13" s="377"/>
      <c r="BI13" s="377"/>
      <c r="BJ13" s="377"/>
      <c r="BK13" s="377"/>
      <c r="BL13" s="377"/>
      <c r="BM13" s="377"/>
      <c r="BN13" s="377"/>
      <c r="BO13" s="377"/>
      <c r="BP13" s="377"/>
      <c r="BQ13" s="377"/>
      <c r="BR13" s="377"/>
      <c r="BS13" s="377"/>
      <c r="BT13" s="377"/>
      <c r="BU13" s="377"/>
      <c r="BV13" s="377"/>
      <c r="BW13" s="377"/>
      <c r="BX13" s="377"/>
      <c r="BY13" s="377"/>
      <c r="BZ13" s="377"/>
      <c r="CA13" s="377"/>
      <c r="CB13" s="377"/>
      <c r="CC13" s="377"/>
      <c r="CD13" s="377"/>
      <c r="CE13" s="377"/>
      <c r="CF13" s="377"/>
      <c r="CG13" s="377"/>
      <c r="CH13" s="377"/>
      <c r="CI13" s="377"/>
    </row>
    <row r="14" spans="1:97" s="384" customFormat="1" hidden="1">
      <c r="A14" s="490"/>
      <c r="B14" s="490"/>
      <c r="C14" s="490"/>
      <c r="D14" s="490"/>
      <c r="E14" s="490"/>
      <c r="F14" s="385"/>
      <c r="G14" s="385"/>
      <c r="H14" s="386" t="s">
        <v>375</v>
      </c>
      <c r="I14" s="402"/>
      <c r="J14" s="489"/>
      <c r="K14" s="450"/>
      <c r="L14" s="450"/>
      <c r="M14" s="489"/>
      <c r="N14" s="438"/>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7"/>
      <c r="AX14" s="377"/>
      <c r="AY14" s="377"/>
      <c r="AZ14" s="377"/>
      <c r="BA14" s="377"/>
      <c r="BB14" s="377"/>
      <c r="BC14" s="377"/>
      <c r="BD14" s="377"/>
      <c r="BE14" s="377"/>
      <c r="BF14" s="377"/>
      <c r="BG14" s="377"/>
      <c r="BH14" s="377"/>
      <c r="BI14" s="377"/>
      <c r="BJ14" s="377"/>
      <c r="BK14" s="377"/>
      <c r="BL14" s="377"/>
      <c r="BM14" s="377"/>
      <c r="BN14" s="377"/>
      <c r="BO14" s="377"/>
      <c r="BP14" s="377"/>
      <c r="BQ14" s="377"/>
      <c r="BR14" s="377"/>
      <c r="BS14" s="377"/>
      <c r="BT14" s="377"/>
      <c r="BU14" s="377"/>
      <c r="BV14" s="377"/>
      <c r="BW14" s="377"/>
      <c r="BX14" s="377"/>
      <c r="BY14" s="377"/>
      <c r="BZ14" s="377"/>
      <c r="CA14" s="377"/>
      <c r="CB14" s="377"/>
      <c r="CC14" s="377"/>
      <c r="CD14" s="377"/>
      <c r="CE14" s="377"/>
      <c r="CF14" s="377"/>
      <c r="CG14" s="377"/>
      <c r="CH14" s="377"/>
      <c r="CI14" s="377"/>
    </row>
    <row r="15" spans="1:97" s="384" customFormat="1" hidden="1">
      <c r="A15" s="490"/>
      <c r="B15" s="490"/>
      <c r="C15" s="490"/>
      <c r="D15" s="490"/>
      <c r="E15" s="490"/>
      <c r="F15" s="385"/>
      <c r="G15" s="385"/>
      <c r="H15" s="386" t="s">
        <v>376</v>
      </c>
      <c r="I15" s="402"/>
      <c r="J15" s="489"/>
      <c r="K15" s="450"/>
      <c r="L15" s="450"/>
      <c r="M15" s="489"/>
      <c r="N15" s="438"/>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c r="AZ15" s="377"/>
      <c r="BA15" s="377"/>
      <c r="BB15" s="377"/>
      <c r="BC15" s="377"/>
      <c r="BD15" s="377"/>
      <c r="BE15" s="377"/>
      <c r="BF15" s="377"/>
      <c r="BG15" s="377"/>
      <c r="BH15" s="377"/>
      <c r="BI15" s="377"/>
      <c r="BJ15" s="377"/>
      <c r="BK15" s="377"/>
      <c r="BL15" s="377"/>
      <c r="BM15" s="377"/>
      <c r="BN15" s="377"/>
      <c r="BO15" s="377"/>
      <c r="BP15" s="377"/>
      <c r="BQ15" s="377"/>
      <c r="BR15" s="377"/>
      <c r="BS15" s="377"/>
      <c r="BT15" s="377"/>
      <c r="BU15" s="377"/>
      <c r="BV15" s="377"/>
      <c r="BW15" s="377"/>
      <c r="BX15" s="377"/>
      <c r="BY15" s="377"/>
      <c r="BZ15" s="377"/>
      <c r="CA15" s="377"/>
      <c r="CB15" s="377"/>
      <c r="CC15" s="377"/>
      <c r="CD15" s="377"/>
      <c r="CE15" s="377"/>
      <c r="CF15" s="377"/>
      <c r="CG15" s="377"/>
      <c r="CH15" s="377"/>
      <c r="CI15" s="377"/>
    </row>
    <row r="16" spans="1:97" s="384" customFormat="1" ht="40.5" hidden="1">
      <c r="A16" s="490"/>
      <c r="B16" s="490"/>
      <c r="C16" s="490"/>
      <c r="D16" s="490"/>
      <c r="E16" s="490"/>
      <c r="F16" s="385"/>
      <c r="G16" s="385"/>
      <c r="H16" s="386" t="s">
        <v>377</v>
      </c>
      <c r="I16" s="402"/>
      <c r="J16" s="489"/>
      <c r="K16" s="450"/>
      <c r="L16" s="450"/>
      <c r="M16" s="489"/>
      <c r="N16" s="438"/>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7"/>
      <c r="AV16" s="377"/>
      <c r="AW16" s="377"/>
      <c r="AX16" s="377"/>
      <c r="AY16" s="377"/>
      <c r="AZ16" s="377"/>
      <c r="BA16" s="377"/>
      <c r="BB16" s="377"/>
      <c r="BC16" s="377"/>
      <c r="BD16" s="377"/>
      <c r="BE16" s="377"/>
      <c r="BF16" s="377"/>
      <c r="BG16" s="377"/>
      <c r="BH16" s="377"/>
      <c r="BI16" s="377"/>
      <c r="BJ16" s="377"/>
      <c r="BK16" s="377"/>
      <c r="BL16" s="377"/>
      <c r="BM16" s="377"/>
      <c r="BN16" s="377"/>
      <c r="BO16" s="377"/>
      <c r="BP16" s="377"/>
      <c r="BQ16" s="377"/>
      <c r="BR16" s="377"/>
      <c r="BS16" s="377"/>
      <c r="BT16" s="377"/>
      <c r="BU16" s="377"/>
      <c r="BV16" s="377"/>
      <c r="BW16" s="377"/>
      <c r="BX16" s="377"/>
      <c r="BY16" s="377"/>
      <c r="BZ16" s="377"/>
      <c r="CA16" s="377"/>
      <c r="CB16" s="377"/>
      <c r="CC16" s="377"/>
      <c r="CD16" s="377"/>
      <c r="CE16" s="377"/>
      <c r="CF16" s="377"/>
      <c r="CG16" s="377"/>
      <c r="CH16" s="377"/>
      <c r="CI16" s="377"/>
      <c r="CJ16" s="481"/>
      <c r="CK16" s="481"/>
      <c r="CL16" s="481"/>
      <c r="CM16" s="481"/>
      <c r="CN16" s="481"/>
      <c r="CO16" s="481"/>
      <c r="CP16" s="481"/>
      <c r="CQ16" s="481"/>
      <c r="CR16" s="481"/>
      <c r="CS16" s="481"/>
    </row>
    <row r="17" spans="1:130" s="384" customFormat="1" hidden="1">
      <c r="A17" s="490"/>
      <c r="B17" s="490"/>
      <c r="C17" s="490"/>
      <c r="D17" s="490"/>
      <c r="E17" s="490"/>
      <c r="F17" s="385"/>
      <c r="G17" s="385"/>
      <c r="H17" s="388" t="s">
        <v>378</v>
      </c>
      <c r="I17" s="402"/>
      <c r="J17" s="489"/>
      <c r="K17" s="450"/>
      <c r="L17" s="450"/>
      <c r="M17" s="436"/>
      <c r="N17" s="43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7"/>
      <c r="AX17" s="377"/>
      <c r="AY17" s="377"/>
      <c r="AZ17" s="377"/>
      <c r="BA17" s="377"/>
      <c r="BB17" s="377"/>
      <c r="BC17" s="377"/>
      <c r="BD17" s="377"/>
      <c r="BE17" s="377"/>
      <c r="BF17" s="377"/>
      <c r="BG17" s="377"/>
      <c r="BH17" s="377"/>
      <c r="BI17" s="377"/>
      <c r="BJ17" s="377"/>
      <c r="BK17" s="377"/>
      <c r="BL17" s="377"/>
      <c r="BM17" s="377"/>
      <c r="BN17" s="377"/>
      <c r="BO17" s="377"/>
      <c r="BP17" s="377"/>
      <c r="BQ17" s="377"/>
      <c r="BR17" s="377"/>
      <c r="BS17" s="377"/>
      <c r="BT17" s="377"/>
      <c r="BU17" s="377"/>
      <c r="BV17" s="377"/>
      <c r="BW17" s="377"/>
      <c r="BX17" s="377"/>
      <c r="BY17" s="377"/>
      <c r="BZ17" s="377"/>
      <c r="CA17" s="377"/>
      <c r="CB17" s="377"/>
      <c r="CC17" s="377"/>
      <c r="CD17" s="377"/>
      <c r="CE17" s="377"/>
      <c r="CF17" s="377"/>
      <c r="CG17" s="377"/>
      <c r="CH17" s="377"/>
      <c r="CI17" s="377"/>
      <c r="CJ17" s="481"/>
      <c r="CK17" s="481"/>
      <c r="CL17" s="481"/>
      <c r="CM17" s="481"/>
      <c r="CN17" s="481"/>
      <c r="CO17" s="481"/>
      <c r="CP17" s="481"/>
      <c r="CQ17" s="481"/>
      <c r="CR17" s="481"/>
      <c r="CS17" s="481"/>
    </row>
    <row r="18" spans="1:130" s="384" customFormat="1" hidden="1">
      <c r="A18" s="490"/>
      <c r="B18" s="490"/>
      <c r="C18" s="490"/>
      <c r="D18" s="490"/>
      <c r="E18" s="490"/>
      <c r="F18" s="385"/>
      <c r="G18" s="385"/>
      <c r="H18" s="387" t="s">
        <v>56</v>
      </c>
      <c r="I18" s="402"/>
      <c r="J18" s="489"/>
      <c r="K18" s="450"/>
      <c r="L18" s="450"/>
      <c r="M18" s="489"/>
      <c r="N18" s="438"/>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7"/>
      <c r="AU18" s="377"/>
      <c r="AV18" s="377"/>
      <c r="AW18" s="377"/>
      <c r="AX18" s="377"/>
      <c r="AY18" s="377"/>
      <c r="AZ18" s="377"/>
      <c r="BA18" s="377"/>
      <c r="BB18" s="377"/>
      <c r="BC18" s="377"/>
      <c r="BD18" s="377"/>
      <c r="BE18" s="377"/>
      <c r="BF18" s="377"/>
      <c r="BG18" s="377"/>
      <c r="BH18" s="377"/>
      <c r="BI18" s="377"/>
      <c r="BJ18" s="377"/>
      <c r="BK18" s="377"/>
      <c r="BL18" s="377"/>
      <c r="BM18" s="377"/>
      <c r="BN18" s="377"/>
      <c r="BO18" s="377"/>
      <c r="BP18" s="377"/>
      <c r="BQ18" s="377"/>
      <c r="BR18" s="377"/>
      <c r="BS18" s="377"/>
      <c r="BT18" s="377"/>
      <c r="BU18" s="377"/>
      <c r="BV18" s="377"/>
      <c r="BW18" s="377"/>
      <c r="BX18" s="377"/>
      <c r="BY18" s="377"/>
      <c r="BZ18" s="377"/>
      <c r="CA18" s="377"/>
      <c r="CB18" s="377"/>
      <c r="CC18" s="377"/>
      <c r="CD18" s="377"/>
      <c r="CE18" s="377"/>
      <c r="CF18" s="377"/>
      <c r="CG18" s="377"/>
      <c r="CH18" s="377"/>
      <c r="CI18" s="377"/>
      <c r="CJ18" s="481"/>
      <c r="CK18" s="481"/>
      <c r="CL18" s="481"/>
      <c r="CM18" s="481"/>
      <c r="CN18" s="481"/>
      <c r="CO18" s="481"/>
      <c r="CP18" s="481"/>
      <c r="CQ18" s="481"/>
      <c r="CR18" s="481"/>
      <c r="CS18" s="481"/>
    </row>
    <row r="19" spans="1:130" s="384" customFormat="1" hidden="1">
      <c r="A19" s="490"/>
      <c r="B19" s="490"/>
      <c r="C19" s="490"/>
      <c r="D19" s="490"/>
      <c r="E19" s="490"/>
      <c r="F19" s="385"/>
      <c r="G19" s="385"/>
      <c r="H19" s="386" t="s">
        <v>343</v>
      </c>
      <c r="I19" s="402"/>
      <c r="J19" s="489"/>
      <c r="K19" s="450"/>
      <c r="L19" s="450"/>
      <c r="M19" s="489"/>
      <c r="N19" s="438"/>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7"/>
      <c r="AN19" s="377"/>
      <c r="AO19" s="377"/>
      <c r="AP19" s="377"/>
      <c r="AQ19" s="377"/>
      <c r="AR19" s="377"/>
      <c r="AS19" s="377"/>
      <c r="AT19" s="377"/>
      <c r="AU19" s="377"/>
      <c r="AV19" s="377"/>
      <c r="AW19" s="377"/>
      <c r="AX19" s="377"/>
      <c r="AY19" s="377"/>
      <c r="AZ19" s="377"/>
      <c r="BA19" s="377"/>
      <c r="BB19" s="377"/>
      <c r="BC19" s="377"/>
      <c r="BD19" s="377"/>
      <c r="BE19" s="377"/>
      <c r="BF19" s="377"/>
      <c r="BG19" s="377"/>
      <c r="BH19" s="377"/>
      <c r="BI19" s="377"/>
      <c r="BJ19" s="377"/>
      <c r="BK19" s="377"/>
      <c r="BL19" s="377"/>
      <c r="BM19" s="377"/>
      <c r="BN19" s="377"/>
      <c r="BO19" s="377"/>
      <c r="BP19" s="377"/>
      <c r="BQ19" s="377"/>
      <c r="BR19" s="377"/>
      <c r="BS19" s="377"/>
      <c r="BT19" s="377"/>
      <c r="BU19" s="377"/>
      <c r="BV19" s="377"/>
      <c r="BW19" s="377"/>
      <c r="BX19" s="377"/>
      <c r="BY19" s="377"/>
      <c r="BZ19" s="377"/>
      <c r="CA19" s="377"/>
      <c r="CB19" s="377"/>
      <c r="CC19" s="377"/>
      <c r="CD19" s="377"/>
      <c r="CE19" s="377"/>
      <c r="CF19" s="377"/>
      <c r="CG19" s="377"/>
      <c r="CH19" s="377"/>
      <c r="CI19" s="377"/>
      <c r="CJ19" s="481"/>
      <c r="CK19" s="481"/>
      <c r="CL19" s="481"/>
      <c r="CM19" s="481"/>
      <c r="CN19" s="481"/>
      <c r="CO19" s="481"/>
      <c r="CP19" s="481"/>
      <c r="CQ19" s="481"/>
      <c r="CR19" s="481"/>
      <c r="CS19" s="481"/>
    </row>
    <row r="20" spans="1:130" s="384" customFormat="1" hidden="1">
      <c r="A20" s="490"/>
      <c r="B20" s="490"/>
      <c r="C20" s="490"/>
      <c r="D20" s="490"/>
      <c r="E20" s="490"/>
      <c r="F20" s="385"/>
      <c r="G20" s="385"/>
      <c r="H20" s="386" t="s">
        <v>344</v>
      </c>
      <c r="I20" s="402"/>
      <c r="J20" s="489"/>
      <c r="K20" s="450"/>
      <c r="L20" s="450"/>
      <c r="M20" s="434"/>
      <c r="N20" s="449"/>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7"/>
      <c r="AM20" s="377"/>
      <c r="AN20" s="377"/>
      <c r="AO20" s="377"/>
      <c r="AP20" s="377"/>
      <c r="AQ20" s="377"/>
      <c r="AR20" s="377"/>
      <c r="AS20" s="377"/>
      <c r="AT20" s="377"/>
      <c r="AU20" s="377"/>
      <c r="AV20" s="377"/>
      <c r="AW20" s="377"/>
      <c r="AX20" s="377"/>
      <c r="AY20" s="377"/>
      <c r="AZ20" s="377"/>
      <c r="BA20" s="377"/>
      <c r="BB20" s="377"/>
      <c r="BC20" s="377"/>
      <c r="BD20" s="377"/>
      <c r="BE20" s="377"/>
      <c r="BF20" s="377"/>
      <c r="BG20" s="377"/>
      <c r="BH20" s="377"/>
      <c r="BI20" s="377"/>
      <c r="BJ20" s="377"/>
      <c r="BK20" s="377"/>
      <c r="BL20" s="377"/>
      <c r="BM20" s="377"/>
      <c r="BN20" s="377"/>
      <c r="BO20" s="377"/>
      <c r="BP20" s="377"/>
      <c r="BQ20" s="377"/>
      <c r="BR20" s="377"/>
      <c r="BS20" s="377"/>
      <c r="BT20" s="377"/>
      <c r="BU20" s="377"/>
      <c r="BV20" s="377"/>
      <c r="BW20" s="377"/>
      <c r="BX20" s="377"/>
      <c r="BY20" s="377"/>
      <c r="BZ20" s="377"/>
      <c r="CA20" s="377"/>
      <c r="CB20" s="377"/>
      <c r="CC20" s="377"/>
      <c r="CD20" s="377"/>
      <c r="CE20" s="377"/>
      <c r="CF20" s="377"/>
      <c r="CG20" s="377"/>
      <c r="CH20" s="377"/>
      <c r="CI20" s="377"/>
      <c r="CJ20" s="481"/>
      <c r="CK20" s="481"/>
      <c r="CL20" s="481"/>
      <c r="CM20" s="481"/>
      <c r="CN20" s="481"/>
      <c r="CO20" s="481"/>
      <c r="CP20" s="481"/>
      <c r="CQ20" s="481"/>
      <c r="CR20" s="481"/>
      <c r="CS20" s="481"/>
    </row>
    <row r="21" spans="1:130" s="384" customFormat="1" hidden="1">
      <c r="A21" s="490"/>
      <c r="B21" s="490"/>
      <c r="C21" s="490"/>
      <c r="D21" s="490"/>
      <c r="E21" s="490"/>
      <c r="F21" s="385"/>
      <c r="G21" s="385"/>
      <c r="H21" s="386" t="s">
        <v>379</v>
      </c>
      <c r="I21" s="402"/>
      <c r="J21" s="489"/>
      <c r="K21" s="450"/>
      <c r="L21" s="450"/>
      <c r="M21" s="436"/>
      <c r="N21" s="43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7"/>
      <c r="BA21" s="377"/>
      <c r="BB21" s="377"/>
      <c r="BC21" s="377"/>
      <c r="BD21" s="377"/>
      <c r="BE21" s="377"/>
      <c r="BF21" s="377"/>
      <c r="BG21" s="377"/>
      <c r="BH21" s="377"/>
      <c r="BI21" s="377"/>
      <c r="BJ21" s="377"/>
      <c r="BK21" s="377"/>
      <c r="BL21" s="377"/>
      <c r="BM21" s="377"/>
      <c r="BN21" s="377"/>
      <c r="BO21" s="377"/>
      <c r="BP21" s="377"/>
      <c r="BQ21" s="377"/>
      <c r="BR21" s="377"/>
      <c r="BS21" s="377"/>
      <c r="BT21" s="377"/>
      <c r="BU21" s="377"/>
      <c r="BV21" s="377"/>
      <c r="BW21" s="377"/>
      <c r="BX21" s="377"/>
      <c r="BY21" s="377"/>
      <c r="BZ21" s="377"/>
      <c r="CA21" s="377"/>
      <c r="CB21" s="377"/>
      <c r="CC21" s="377"/>
      <c r="CD21" s="377"/>
      <c r="CE21" s="377"/>
      <c r="CF21" s="377"/>
      <c r="CG21" s="377"/>
      <c r="CH21" s="377"/>
      <c r="CI21" s="377"/>
      <c r="CJ21" s="481"/>
      <c r="CK21" s="481"/>
      <c r="CL21" s="481"/>
      <c r="CM21" s="481"/>
      <c r="CN21" s="481"/>
      <c r="CO21" s="481"/>
      <c r="CP21" s="481"/>
      <c r="CQ21" s="481"/>
      <c r="CR21" s="481"/>
      <c r="CS21" s="481"/>
    </row>
    <row r="22" spans="1:130" s="384" customFormat="1" ht="40.5" hidden="1">
      <c r="A22" s="490"/>
      <c r="B22" s="490"/>
      <c r="C22" s="490"/>
      <c r="D22" s="490"/>
      <c r="E22" s="490"/>
      <c r="F22" s="385"/>
      <c r="G22" s="385"/>
      <c r="H22" s="558" t="s">
        <v>380</v>
      </c>
      <c r="I22" s="402"/>
      <c r="J22" s="489"/>
      <c r="K22" s="450"/>
      <c r="L22" s="450"/>
      <c r="M22" s="436"/>
      <c r="N22" s="43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7"/>
      <c r="AN22" s="377"/>
      <c r="AO22" s="377"/>
      <c r="AP22" s="377"/>
      <c r="AQ22" s="377"/>
      <c r="AR22" s="377"/>
      <c r="AS22" s="377"/>
      <c r="AT22" s="377"/>
      <c r="AU22" s="377"/>
      <c r="AV22" s="377"/>
      <c r="AW22" s="377"/>
      <c r="AX22" s="377"/>
      <c r="AY22" s="377"/>
      <c r="AZ22" s="377"/>
      <c r="BA22" s="377"/>
      <c r="BB22" s="377"/>
      <c r="BC22" s="377"/>
      <c r="BD22" s="377"/>
      <c r="BE22" s="377"/>
      <c r="BF22" s="377"/>
      <c r="BG22" s="377"/>
      <c r="BH22" s="377"/>
      <c r="BI22" s="377"/>
      <c r="BJ22" s="377"/>
      <c r="BK22" s="377"/>
      <c r="BL22" s="377"/>
      <c r="BM22" s="377"/>
      <c r="BN22" s="377"/>
      <c r="BO22" s="377"/>
      <c r="BP22" s="377"/>
      <c r="BQ22" s="377"/>
      <c r="BR22" s="377"/>
      <c r="BS22" s="377"/>
      <c r="BT22" s="377"/>
      <c r="BU22" s="377"/>
      <c r="BV22" s="377"/>
      <c r="BW22" s="377"/>
      <c r="BX22" s="377"/>
      <c r="BY22" s="377"/>
      <c r="BZ22" s="377"/>
      <c r="CA22" s="377"/>
      <c r="CB22" s="377"/>
      <c r="CC22" s="377"/>
      <c r="CD22" s="377"/>
      <c r="CE22" s="377"/>
      <c r="CF22" s="377"/>
      <c r="CG22" s="377"/>
      <c r="CH22" s="377"/>
      <c r="CI22" s="377"/>
      <c r="CJ22" s="481"/>
      <c r="CK22" s="481"/>
      <c r="CL22" s="481"/>
      <c r="CM22" s="481"/>
      <c r="CN22" s="481"/>
      <c r="CO22" s="481"/>
      <c r="CP22" s="481"/>
      <c r="CQ22" s="481"/>
      <c r="CR22" s="481"/>
      <c r="CS22" s="481"/>
    </row>
    <row r="23" spans="1:130" s="384" customFormat="1" hidden="1">
      <c r="A23" s="490"/>
      <c r="B23" s="490"/>
      <c r="C23" s="490"/>
      <c r="D23" s="490"/>
      <c r="E23" s="490"/>
      <c r="F23" s="385"/>
      <c r="G23" s="385"/>
      <c r="H23" s="388" t="s">
        <v>311</v>
      </c>
      <c r="I23" s="402"/>
      <c r="J23" s="489"/>
      <c r="K23" s="450"/>
      <c r="L23" s="450"/>
      <c r="M23" s="489"/>
      <c r="N23" s="438"/>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7"/>
      <c r="AS23" s="377"/>
      <c r="AT23" s="377"/>
      <c r="AU23" s="377"/>
      <c r="AV23" s="377"/>
      <c r="AW23" s="377"/>
      <c r="AX23" s="377"/>
      <c r="AY23" s="377"/>
      <c r="AZ23" s="377"/>
      <c r="BA23" s="377"/>
      <c r="BB23" s="377"/>
      <c r="BC23" s="377"/>
      <c r="BD23" s="377"/>
      <c r="BE23" s="377"/>
      <c r="BF23" s="377"/>
      <c r="BG23" s="377"/>
      <c r="BH23" s="377"/>
      <c r="BI23" s="377"/>
      <c r="BJ23" s="377"/>
      <c r="BK23" s="377"/>
      <c r="BL23" s="377"/>
      <c r="BM23" s="377"/>
      <c r="BN23" s="377"/>
      <c r="BO23" s="377"/>
      <c r="BP23" s="377"/>
      <c r="BQ23" s="377"/>
      <c r="BR23" s="377"/>
      <c r="BS23" s="377"/>
      <c r="BT23" s="377"/>
      <c r="BU23" s="377"/>
      <c r="BV23" s="377"/>
      <c r="BW23" s="377"/>
      <c r="BX23" s="377"/>
      <c r="BY23" s="377"/>
      <c r="BZ23" s="377"/>
      <c r="CA23" s="377"/>
      <c r="CB23" s="377"/>
      <c r="CC23" s="377"/>
      <c r="CD23" s="377"/>
      <c r="CE23" s="377"/>
      <c r="CF23" s="377"/>
      <c r="CG23" s="377"/>
      <c r="CH23" s="377"/>
      <c r="CI23" s="377"/>
      <c r="CJ23" s="481"/>
      <c r="CK23" s="481"/>
      <c r="CL23" s="481"/>
      <c r="CM23" s="481"/>
      <c r="CN23" s="481"/>
      <c r="CO23" s="481"/>
      <c r="CP23" s="481"/>
      <c r="CQ23" s="481"/>
      <c r="CR23" s="481"/>
      <c r="CS23" s="481"/>
    </row>
    <row r="24" spans="1:130" s="384" customFormat="1" hidden="1">
      <c r="A24" s="490"/>
      <c r="B24" s="490"/>
      <c r="C24" s="490"/>
      <c r="D24" s="490"/>
      <c r="E24" s="490"/>
      <c r="F24" s="385"/>
      <c r="G24" s="385"/>
      <c r="H24" s="388" t="s">
        <v>3688</v>
      </c>
      <c r="I24" s="402"/>
      <c r="J24" s="489"/>
      <c r="K24" s="450"/>
      <c r="L24" s="450"/>
      <c r="M24" s="489"/>
      <c r="N24" s="438"/>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377"/>
      <c r="BN24" s="377"/>
      <c r="BO24" s="377"/>
      <c r="BP24" s="377"/>
      <c r="BQ24" s="377"/>
      <c r="BR24" s="377"/>
      <c r="BS24" s="377"/>
      <c r="BT24" s="377"/>
      <c r="BU24" s="377"/>
      <c r="BV24" s="377"/>
      <c r="BW24" s="377"/>
      <c r="BX24" s="377"/>
      <c r="BY24" s="377"/>
      <c r="BZ24" s="377"/>
      <c r="CA24" s="377"/>
      <c r="CB24" s="377"/>
      <c r="CC24" s="377"/>
      <c r="CD24" s="377"/>
      <c r="CE24" s="377"/>
      <c r="CF24" s="377"/>
      <c r="CG24" s="377"/>
      <c r="CH24" s="377"/>
      <c r="CI24" s="377"/>
      <c r="CJ24" s="481"/>
      <c r="CK24" s="481"/>
      <c r="CL24" s="481"/>
      <c r="CM24" s="481"/>
      <c r="CN24" s="481"/>
      <c r="CO24" s="481"/>
      <c r="CP24" s="481"/>
      <c r="CQ24" s="481"/>
      <c r="CR24" s="481"/>
      <c r="CS24" s="481"/>
    </row>
    <row r="25" spans="1:130" s="384" customFormat="1" hidden="1">
      <c r="A25" s="490"/>
      <c r="B25" s="490"/>
      <c r="C25" s="490"/>
      <c r="D25" s="490"/>
      <c r="E25" s="490"/>
      <c r="F25" s="385"/>
      <c r="G25" s="385"/>
      <c r="H25" s="386" t="s">
        <v>346</v>
      </c>
      <c r="I25" s="402"/>
      <c r="J25" s="489"/>
      <c r="K25" s="450"/>
      <c r="L25" s="450"/>
      <c r="M25" s="489"/>
      <c r="N25" s="438"/>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77"/>
      <c r="BK25" s="377"/>
      <c r="BL25" s="377"/>
      <c r="BM25" s="377"/>
      <c r="BN25" s="377"/>
      <c r="BO25" s="377"/>
      <c r="BP25" s="377"/>
      <c r="BQ25" s="377"/>
      <c r="BR25" s="377"/>
      <c r="BS25" s="377"/>
      <c r="BT25" s="377"/>
      <c r="BU25" s="377"/>
      <c r="BV25" s="377"/>
      <c r="BW25" s="377"/>
      <c r="BX25" s="377"/>
      <c r="BY25" s="377"/>
      <c r="BZ25" s="377"/>
      <c r="CA25" s="377"/>
      <c r="CB25" s="377"/>
      <c r="CC25" s="377"/>
      <c r="CD25" s="377"/>
      <c r="CE25" s="377"/>
      <c r="CF25" s="377"/>
      <c r="CG25" s="377"/>
      <c r="CH25" s="377"/>
      <c r="CI25" s="377"/>
      <c r="CJ25" s="481"/>
      <c r="CK25" s="481"/>
      <c r="CL25" s="481"/>
      <c r="CM25" s="481"/>
      <c r="CN25" s="481"/>
      <c r="CO25" s="481"/>
      <c r="CP25" s="481"/>
      <c r="CQ25" s="481"/>
      <c r="CR25" s="481"/>
      <c r="CS25" s="481"/>
    </row>
    <row r="26" spans="1:130">
      <c r="A26" s="490"/>
      <c r="B26" s="490"/>
      <c r="C26" s="490"/>
      <c r="D26" s="490"/>
      <c r="E26" s="490"/>
      <c r="F26" s="385"/>
      <c r="G26" s="385"/>
      <c r="H26" s="559" t="s">
        <v>3687</v>
      </c>
      <c r="I26" s="402"/>
      <c r="J26" s="489"/>
      <c r="K26" s="450"/>
      <c r="L26" s="450"/>
      <c r="M26" s="535"/>
      <c r="N26" s="536"/>
      <c r="CJ26" s="479"/>
      <c r="CK26" s="479"/>
      <c r="CL26" s="479"/>
      <c r="CM26" s="479"/>
      <c r="CN26" s="479"/>
      <c r="CO26" s="479"/>
      <c r="CP26" s="479"/>
      <c r="CQ26" s="479"/>
      <c r="CR26" s="479"/>
      <c r="CS26" s="479"/>
    </row>
    <row r="27" spans="1:130" s="393" customFormat="1">
      <c r="A27" s="403" t="s">
        <v>326</v>
      </c>
      <c r="B27" s="403"/>
      <c r="C27" s="403"/>
      <c r="D27" s="403"/>
      <c r="E27" s="490"/>
      <c r="F27" s="385"/>
      <c r="G27" s="385"/>
      <c r="H27" s="385" t="s">
        <v>320</v>
      </c>
      <c r="I27" s="385"/>
      <c r="J27" s="490"/>
      <c r="K27" s="412"/>
      <c r="L27" s="412"/>
      <c r="M27" s="389"/>
      <c r="N27" s="389"/>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7"/>
      <c r="BE27" s="377"/>
      <c r="BF27" s="377"/>
      <c r="BG27" s="377"/>
      <c r="BH27" s="377"/>
      <c r="BI27" s="377"/>
      <c r="BJ27" s="377"/>
      <c r="BK27" s="377"/>
      <c r="BL27" s="377"/>
      <c r="BM27" s="377"/>
      <c r="BN27" s="377"/>
      <c r="BO27" s="377"/>
      <c r="BP27" s="377"/>
      <c r="BQ27" s="377"/>
      <c r="BR27" s="377"/>
      <c r="BS27" s="377"/>
      <c r="BT27" s="377"/>
      <c r="BU27" s="377"/>
      <c r="BV27" s="377"/>
      <c r="BW27" s="377"/>
      <c r="BX27" s="377"/>
      <c r="BY27" s="377"/>
      <c r="BZ27" s="377"/>
      <c r="CA27" s="377"/>
      <c r="CB27" s="377"/>
      <c r="CC27" s="377"/>
      <c r="CD27" s="377"/>
      <c r="CE27" s="377"/>
      <c r="CF27" s="377"/>
      <c r="CG27" s="377"/>
      <c r="CH27" s="377"/>
      <c r="CI27" s="377"/>
      <c r="CJ27" s="377"/>
      <c r="CK27" s="377"/>
      <c r="CL27" s="377"/>
      <c r="CM27" s="377"/>
      <c r="CN27" s="377"/>
      <c r="CO27" s="377"/>
      <c r="CP27" s="377"/>
      <c r="CQ27" s="377"/>
      <c r="CR27" s="377"/>
      <c r="CS27" s="377"/>
      <c r="CT27" s="377"/>
      <c r="CU27" s="377"/>
      <c r="CV27" s="377"/>
      <c r="CW27" s="377"/>
      <c r="CX27" s="377"/>
      <c r="CY27" s="377"/>
      <c r="CZ27" s="377"/>
      <c r="DA27" s="377"/>
      <c r="DB27" s="377"/>
      <c r="DC27" s="377"/>
      <c r="DD27" s="377"/>
      <c r="DE27" s="377"/>
      <c r="DF27" s="377"/>
      <c r="DG27" s="377"/>
      <c r="DH27" s="377"/>
      <c r="DI27" s="377"/>
      <c r="DJ27" s="377"/>
      <c r="DK27" s="377"/>
      <c r="DL27" s="377"/>
      <c r="DM27" s="377"/>
      <c r="DN27" s="377"/>
      <c r="DO27" s="377"/>
      <c r="DP27" s="377"/>
      <c r="DQ27" s="377"/>
      <c r="DR27" s="377"/>
      <c r="DS27" s="377"/>
      <c r="DT27" s="377"/>
      <c r="DU27" s="377"/>
      <c r="DV27" s="377"/>
      <c r="DW27" s="377"/>
      <c r="DX27" s="377"/>
      <c r="DY27" s="377"/>
      <c r="DZ27" s="377"/>
    </row>
    <row r="28" spans="1:130" s="411" customFormat="1" ht="42" customHeight="1" outlineLevel="1" collapsed="1">
      <c r="A28" s="489" t="s">
        <v>1245</v>
      </c>
      <c r="B28" s="490" t="s">
        <v>237</v>
      </c>
      <c r="C28" s="398" t="s">
        <v>408</v>
      </c>
      <c r="D28" s="398" t="s">
        <v>391</v>
      </c>
      <c r="E28" s="398" t="s">
        <v>1493</v>
      </c>
      <c r="F28" s="385" t="s">
        <v>1211</v>
      </c>
      <c r="G28" s="385" t="s">
        <v>1212</v>
      </c>
      <c r="H28" s="401" t="s">
        <v>1574</v>
      </c>
      <c r="I28" s="385" t="str">
        <f>CONCATENATE(I31," ",N31,M31," ",I30," ",N30,M30," ",I29," ",N29,M29," ",)</f>
        <v xml:space="preserve">Ручная расчистка 1,99га Механизированная расчистка 37,44га расширение просек 0,61га </v>
      </c>
      <c r="J28" s="385" t="s">
        <v>365</v>
      </c>
      <c r="K28" s="467">
        <v>44197</v>
      </c>
      <c r="L28" s="467">
        <v>44561</v>
      </c>
      <c r="M28" s="490"/>
      <c r="N28" s="490"/>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4"/>
      <c r="AN28" s="384"/>
      <c r="AO28" s="384"/>
      <c r="AP28" s="384"/>
      <c r="AQ28" s="384"/>
      <c r="AR28" s="384"/>
      <c r="AS28" s="384"/>
      <c r="AT28" s="384"/>
      <c r="AU28" s="384"/>
      <c r="AV28" s="384"/>
      <c r="AW28" s="384"/>
      <c r="AX28" s="384"/>
      <c r="AY28" s="384"/>
      <c r="AZ28" s="384"/>
      <c r="BA28" s="384"/>
      <c r="BB28" s="384"/>
      <c r="BC28" s="384"/>
      <c r="BD28" s="384"/>
      <c r="BE28" s="384"/>
      <c r="BF28" s="384"/>
      <c r="BG28" s="384"/>
      <c r="BH28" s="384"/>
      <c r="BI28" s="384"/>
      <c r="BJ28" s="384"/>
      <c r="BK28" s="384"/>
      <c r="BL28" s="384"/>
      <c r="BM28" s="384"/>
      <c r="BN28" s="384"/>
      <c r="BO28" s="384"/>
      <c r="BP28" s="384"/>
      <c r="BQ28" s="384"/>
      <c r="BR28" s="384"/>
      <c r="BS28" s="384"/>
      <c r="BT28" s="384"/>
      <c r="BU28" s="384"/>
      <c r="BV28" s="384"/>
      <c r="BW28" s="384"/>
      <c r="BX28" s="384"/>
      <c r="BY28" s="384"/>
      <c r="BZ28" s="384"/>
      <c r="CA28" s="384"/>
      <c r="CB28" s="384"/>
      <c r="CC28" s="384"/>
      <c r="CD28" s="384"/>
      <c r="CE28" s="384"/>
      <c r="CF28" s="384"/>
      <c r="CG28" s="384"/>
      <c r="CH28" s="384"/>
      <c r="CI28" s="384"/>
      <c r="CJ28" s="384"/>
      <c r="CK28" s="384"/>
      <c r="CL28" s="384"/>
      <c r="CM28" s="384"/>
      <c r="CN28" s="384"/>
      <c r="CO28" s="384"/>
      <c r="CP28" s="384"/>
      <c r="CQ28" s="384"/>
      <c r="CR28" s="384"/>
      <c r="CS28" s="384"/>
      <c r="CT28" s="384"/>
      <c r="CU28" s="384"/>
      <c r="CV28" s="384"/>
      <c r="CW28" s="384"/>
      <c r="CX28" s="384"/>
      <c r="CY28" s="384"/>
      <c r="CZ28" s="384"/>
      <c r="DA28" s="384"/>
      <c r="DB28" s="384"/>
      <c r="DC28" s="384"/>
      <c r="DD28" s="384"/>
      <c r="DE28" s="384"/>
      <c r="DF28" s="384"/>
      <c r="DG28" s="384"/>
      <c r="DH28" s="384"/>
      <c r="DI28" s="384"/>
      <c r="DJ28" s="384"/>
      <c r="DK28" s="384"/>
      <c r="DL28" s="384"/>
      <c r="DM28" s="384"/>
      <c r="DN28" s="384"/>
      <c r="DO28" s="384"/>
      <c r="DP28" s="384"/>
      <c r="DQ28" s="384"/>
      <c r="DR28" s="384"/>
      <c r="DS28" s="384"/>
      <c r="DT28" s="384"/>
      <c r="DU28" s="384"/>
      <c r="DV28" s="384"/>
      <c r="DW28" s="384"/>
      <c r="DX28" s="384"/>
      <c r="DY28" s="384"/>
      <c r="DZ28" s="384"/>
    </row>
    <row r="29" spans="1:130" s="397" customFormat="1" ht="40.5" hidden="1" outlineLevel="2">
      <c r="A29" s="438"/>
      <c r="B29" s="490" t="s">
        <v>237</v>
      </c>
      <c r="C29" s="398" t="s">
        <v>408</v>
      </c>
      <c r="D29" s="399" t="s">
        <v>391</v>
      </c>
      <c r="E29" s="396"/>
      <c r="F29" s="396"/>
      <c r="G29" s="385" t="s">
        <v>807</v>
      </c>
      <c r="H29" s="401" t="s">
        <v>1494</v>
      </c>
      <c r="I29" s="385" t="s">
        <v>1726</v>
      </c>
      <c r="J29" s="489"/>
      <c r="K29" s="412"/>
      <c r="L29" s="412"/>
      <c r="M29" s="490" t="s">
        <v>117</v>
      </c>
      <c r="N29" s="490">
        <v>0.61</v>
      </c>
    </row>
    <row r="30" spans="1:130" s="397" customFormat="1" ht="40.5" hidden="1" outlineLevel="2">
      <c r="A30" s="438"/>
      <c r="B30" s="490" t="s">
        <v>237</v>
      </c>
      <c r="C30" s="398" t="s">
        <v>408</v>
      </c>
      <c r="D30" s="399" t="s">
        <v>391</v>
      </c>
      <c r="E30" s="396"/>
      <c r="F30" s="396"/>
      <c r="G30" s="385" t="s">
        <v>807</v>
      </c>
      <c r="H30" s="401" t="s">
        <v>1495</v>
      </c>
      <c r="I30" s="385" t="s">
        <v>159</v>
      </c>
      <c r="J30" s="489"/>
      <c r="K30" s="412"/>
      <c r="L30" s="412"/>
      <c r="M30" s="490" t="s">
        <v>117</v>
      </c>
      <c r="N30" s="490">
        <v>37.44</v>
      </c>
    </row>
    <row r="31" spans="1:130" s="397" customFormat="1" hidden="1" outlineLevel="2">
      <c r="A31" s="438"/>
      <c r="B31" s="490"/>
      <c r="C31" s="398"/>
      <c r="D31" s="399"/>
      <c r="E31" s="396"/>
      <c r="F31" s="396"/>
      <c r="G31" s="385"/>
      <c r="H31" s="401" t="s">
        <v>3351</v>
      </c>
      <c r="I31" s="385" t="s">
        <v>162</v>
      </c>
      <c r="J31" s="489"/>
      <c r="K31" s="412"/>
      <c r="L31" s="412"/>
      <c r="M31" s="490" t="s">
        <v>117</v>
      </c>
      <c r="N31" s="490">
        <v>1.99</v>
      </c>
    </row>
    <row r="32" spans="1:130" s="384" customFormat="1" ht="48" customHeight="1" outlineLevel="1" collapsed="1">
      <c r="A32" s="489" t="s">
        <v>71</v>
      </c>
      <c r="B32" s="490" t="s">
        <v>237</v>
      </c>
      <c r="C32" s="398" t="s">
        <v>408</v>
      </c>
      <c r="D32" s="398" t="s">
        <v>391</v>
      </c>
      <c r="E32" s="398" t="s">
        <v>3692</v>
      </c>
      <c r="F32" s="385" t="s">
        <v>1211</v>
      </c>
      <c r="G32" s="385" t="s">
        <v>1212</v>
      </c>
      <c r="H32" s="401" t="s">
        <v>1594</v>
      </c>
      <c r="I32" s="385" t="str">
        <f>CONCATENATE(I35," ",N35,M35," ",I34," ",N34,M34," ",I33," ",N33,M33," ",)</f>
        <v xml:space="preserve">Механизированная расчистка 14,17га Расширение просек 1,54га Ручная расчистка 0,01га </v>
      </c>
      <c r="J32" s="385" t="s">
        <v>365</v>
      </c>
      <c r="K32" s="467">
        <v>44228</v>
      </c>
      <c r="L32" s="467">
        <v>44255</v>
      </c>
      <c r="M32" s="490"/>
      <c r="N32" s="490"/>
    </row>
    <row r="33" spans="1:130" s="397" customFormat="1" ht="40.5" hidden="1" outlineLevel="2">
      <c r="A33" s="438"/>
      <c r="B33" s="490" t="s">
        <v>237</v>
      </c>
      <c r="C33" s="398" t="s">
        <v>408</v>
      </c>
      <c r="D33" s="399" t="s">
        <v>391</v>
      </c>
      <c r="E33" s="396"/>
      <c r="F33" s="396"/>
      <c r="G33" s="385" t="s">
        <v>807</v>
      </c>
      <c r="H33" s="401" t="s">
        <v>1593</v>
      </c>
      <c r="I33" s="385" t="s">
        <v>162</v>
      </c>
      <c r="J33" s="489"/>
      <c r="K33" s="412"/>
      <c r="L33" s="412"/>
      <c r="M33" s="490" t="s">
        <v>117</v>
      </c>
      <c r="N33" s="490">
        <v>0.01</v>
      </c>
    </row>
    <row r="34" spans="1:130" s="397" customFormat="1" ht="40.5" hidden="1" outlineLevel="2">
      <c r="A34" s="438"/>
      <c r="B34" s="490"/>
      <c r="C34" s="398"/>
      <c r="D34" s="399"/>
      <c r="E34" s="396"/>
      <c r="F34" s="396"/>
      <c r="G34" s="385" t="s">
        <v>3352</v>
      </c>
      <c r="H34" s="401" t="s">
        <v>3353</v>
      </c>
      <c r="I34" s="385" t="s">
        <v>165</v>
      </c>
      <c r="J34" s="489"/>
      <c r="K34" s="412"/>
      <c r="L34" s="412"/>
      <c r="M34" s="490" t="s">
        <v>117</v>
      </c>
      <c r="N34" s="490">
        <v>1.54</v>
      </c>
    </row>
    <row r="35" spans="1:130" s="397" customFormat="1" ht="81" hidden="1" outlineLevel="2">
      <c r="A35" s="438"/>
      <c r="B35" s="490" t="s">
        <v>237</v>
      </c>
      <c r="C35" s="398" t="s">
        <v>408</v>
      </c>
      <c r="D35" s="399" t="s">
        <v>391</v>
      </c>
      <c r="E35" s="396"/>
      <c r="F35" s="396"/>
      <c r="G35" s="385" t="s">
        <v>807</v>
      </c>
      <c r="H35" s="401" t="s">
        <v>3354</v>
      </c>
      <c r="I35" s="385" t="s">
        <v>159</v>
      </c>
      <c r="J35" s="489"/>
      <c r="K35" s="412"/>
      <c r="L35" s="412"/>
      <c r="M35" s="490" t="s">
        <v>117</v>
      </c>
      <c r="N35" s="490">
        <v>14.17</v>
      </c>
    </row>
    <row r="36" spans="1:130" s="411" customFormat="1" ht="48" customHeight="1" outlineLevel="1" collapsed="1">
      <c r="A36" s="489" t="s">
        <v>70</v>
      </c>
      <c r="B36" s="490" t="s">
        <v>237</v>
      </c>
      <c r="C36" s="398" t="s">
        <v>607</v>
      </c>
      <c r="D36" s="398" t="s">
        <v>391</v>
      </c>
      <c r="E36" s="398" t="s">
        <v>806</v>
      </c>
      <c r="F36" s="385" t="s">
        <v>1211</v>
      </c>
      <c r="G36" s="385" t="s">
        <v>1212</v>
      </c>
      <c r="H36" s="401" t="s">
        <v>1575</v>
      </c>
      <c r="I36" s="385" t="str">
        <f>CONCATENATE(I38," ",N38,M38," ",I37," ",N37,M37," ",)</f>
        <v xml:space="preserve">вырубка угрожающих деревьев 485шт Механизированная расчистка  26,4га </v>
      </c>
      <c r="J36" s="385" t="s">
        <v>365</v>
      </c>
      <c r="K36" s="467">
        <v>44197</v>
      </c>
      <c r="L36" s="467">
        <v>44561</v>
      </c>
      <c r="M36" s="490"/>
      <c r="N36" s="490"/>
    </row>
    <row r="37" spans="1:130" s="397" customFormat="1" ht="40.5" hidden="1" outlineLevel="2">
      <c r="A37" s="438"/>
      <c r="B37" s="490" t="s">
        <v>237</v>
      </c>
      <c r="C37" s="398" t="s">
        <v>607</v>
      </c>
      <c r="D37" s="399" t="s">
        <v>391</v>
      </c>
      <c r="E37" s="396"/>
      <c r="F37" s="396"/>
      <c r="G37" s="385" t="s">
        <v>807</v>
      </c>
      <c r="H37" s="401" t="s">
        <v>3355</v>
      </c>
      <c r="I37" s="385" t="s">
        <v>424</v>
      </c>
      <c r="J37" s="489"/>
      <c r="K37" s="412"/>
      <c r="L37" s="412"/>
      <c r="M37" s="490" t="s">
        <v>117</v>
      </c>
      <c r="N37" s="490">
        <v>26.4</v>
      </c>
    </row>
    <row r="38" spans="1:130" s="397" customFormat="1" hidden="1" outlineLevel="2">
      <c r="A38" s="438"/>
      <c r="B38" s="490"/>
      <c r="C38" s="398"/>
      <c r="D38" s="399"/>
      <c r="E38" s="396"/>
      <c r="F38" s="396"/>
      <c r="G38" s="385"/>
      <c r="H38" s="401" t="s">
        <v>3356</v>
      </c>
      <c r="I38" s="385" t="s">
        <v>971</v>
      </c>
      <c r="J38" s="489"/>
      <c r="K38" s="412"/>
      <c r="L38" s="412"/>
      <c r="M38" s="490" t="s">
        <v>813</v>
      </c>
      <c r="N38" s="490">
        <v>485</v>
      </c>
    </row>
    <row r="39" spans="1:130" s="411" customFormat="1" ht="52.9" customHeight="1" outlineLevel="1" collapsed="1">
      <c r="A39" s="489" t="s">
        <v>295</v>
      </c>
      <c r="B39" s="490" t="s">
        <v>237</v>
      </c>
      <c r="C39" s="398" t="s">
        <v>808</v>
      </c>
      <c r="D39" s="398" t="s">
        <v>391</v>
      </c>
      <c r="E39" s="490" t="s">
        <v>809</v>
      </c>
      <c r="F39" s="385" t="s">
        <v>810</v>
      </c>
      <c r="G39" s="385" t="s">
        <v>811</v>
      </c>
      <c r="H39" s="401" t="s">
        <v>1576</v>
      </c>
      <c r="I39" s="385" t="str">
        <f>CONCATENATE(I40," ",N40,M40," ",)</f>
        <v xml:space="preserve">Замена поврежденных изоляторов 6шт </v>
      </c>
      <c r="J39" s="385" t="s">
        <v>365</v>
      </c>
      <c r="K39" s="450">
        <v>44317</v>
      </c>
      <c r="L39" s="450">
        <v>44347</v>
      </c>
      <c r="M39" s="490"/>
      <c r="N39" s="490"/>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c r="AY39" s="384"/>
      <c r="AZ39" s="384"/>
      <c r="BA39" s="384"/>
      <c r="BB39" s="384"/>
      <c r="BC39" s="384"/>
      <c r="BD39" s="384"/>
      <c r="BE39" s="384"/>
      <c r="BF39" s="384"/>
      <c r="BG39" s="384"/>
      <c r="BH39" s="384"/>
      <c r="BI39" s="384"/>
      <c r="BJ39" s="384"/>
      <c r="BK39" s="384"/>
      <c r="BL39" s="384"/>
      <c r="BM39" s="384"/>
      <c r="BN39" s="384"/>
      <c r="BO39" s="384"/>
      <c r="BP39" s="384"/>
      <c r="BQ39" s="384"/>
      <c r="BR39" s="384"/>
      <c r="BS39" s="384"/>
      <c r="BT39" s="384"/>
      <c r="BU39" s="384"/>
      <c r="BV39" s="384"/>
      <c r="BW39" s="384"/>
      <c r="BX39" s="384"/>
      <c r="BY39" s="384"/>
      <c r="BZ39" s="384"/>
      <c r="CA39" s="384"/>
      <c r="CB39" s="384"/>
      <c r="CC39" s="384"/>
      <c r="CD39" s="384"/>
      <c r="CE39" s="384"/>
      <c r="CF39" s="384"/>
      <c r="CG39" s="384"/>
      <c r="CH39" s="384"/>
      <c r="CI39" s="384"/>
      <c r="CJ39" s="384"/>
      <c r="CK39" s="384"/>
      <c r="CL39" s="384"/>
      <c r="CM39" s="384"/>
      <c r="CN39" s="384"/>
      <c r="CO39" s="384"/>
      <c r="CP39" s="384"/>
      <c r="CQ39" s="384"/>
      <c r="CR39" s="384"/>
      <c r="CS39" s="384"/>
      <c r="CT39" s="384"/>
      <c r="CU39" s="384"/>
      <c r="CV39" s="384"/>
      <c r="CW39" s="384"/>
      <c r="CX39" s="384"/>
      <c r="CY39" s="384"/>
      <c r="CZ39" s="384"/>
      <c r="DA39" s="384"/>
      <c r="DB39" s="384"/>
      <c r="DC39" s="384"/>
      <c r="DD39" s="384"/>
      <c r="DE39" s="384"/>
      <c r="DF39" s="384"/>
      <c r="DG39" s="384"/>
      <c r="DH39" s="384"/>
      <c r="DI39" s="384"/>
      <c r="DJ39" s="384"/>
      <c r="DK39" s="384"/>
      <c r="DL39" s="384"/>
      <c r="DM39" s="384"/>
      <c r="DN39" s="384"/>
      <c r="DO39" s="384"/>
      <c r="DP39" s="384"/>
      <c r="DQ39" s="384"/>
      <c r="DR39" s="384"/>
      <c r="DS39" s="384"/>
      <c r="DT39" s="384"/>
      <c r="DU39" s="384"/>
      <c r="DV39" s="384"/>
      <c r="DW39" s="384"/>
      <c r="DX39" s="384"/>
      <c r="DY39" s="384"/>
      <c r="DZ39" s="384"/>
    </row>
    <row r="40" spans="1:130" hidden="1" outlineLevel="2">
      <c r="A40" s="438"/>
      <c r="B40" s="490" t="s">
        <v>237</v>
      </c>
      <c r="C40" s="398" t="s">
        <v>808</v>
      </c>
      <c r="D40" s="399" t="s">
        <v>391</v>
      </c>
      <c r="E40" s="385"/>
      <c r="F40" s="385"/>
      <c r="G40" s="396"/>
      <c r="H40" s="401" t="s">
        <v>812</v>
      </c>
      <c r="I40" s="385" t="s">
        <v>172</v>
      </c>
      <c r="J40" s="489"/>
      <c r="K40" s="412"/>
      <c r="L40" s="412"/>
      <c r="M40" s="490" t="s">
        <v>813</v>
      </c>
      <c r="N40" s="490">
        <v>6</v>
      </c>
    </row>
    <row r="41" spans="1:130" s="411" customFormat="1" ht="64.5" customHeight="1" outlineLevel="1" collapsed="1">
      <c r="A41" s="489" t="s">
        <v>1246</v>
      </c>
      <c r="B41" s="490" t="s">
        <v>237</v>
      </c>
      <c r="C41" s="398" t="s">
        <v>808</v>
      </c>
      <c r="D41" s="398" t="s">
        <v>391</v>
      </c>
      <c r="E41" s="490" t="s">
        <v>1739</v>
      </c>
      <c r="F41" s="385" t="s">
        <v>810</v>
      </c>
      <c r="G41" s="385" t="s">
        <v>811</v>
      </c>
      <c r="H41" s="401" t="s">
        <v>1789</v>
      </c>
      <c r="I41" s="385" t="str">
        <f>CONCATENATE(I43," ",N43,M43," ",I42," ",N42,M42," ",)</f>
        <v xml:space="preserve">установка ремонтного зажима 1шт Замена поврежденных изоляторов 2шт </v>
      </c>
      <c r="J41" s="385" t="s">
        <v>365</v>
      </c>
      <c r="K41" s="450">
        <v>44440</v>
      </c>
      <c r="L41" s="450">
        <v>44469</v>
      </c>
      <c r="M41" s="490"/>
      <c r="N41" s="490"/>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4"/>
      <c r="AW41" s="384"/>
      <c r="AX41" s="384"/>
      <c r="AY41" s="384"/>
      <c r="AZ41" s="384"/>
      <c r="BA41" s="384"/>
      <c r="BB41" s="384"/>
      <c r="BC41" s="384"/>
      <c r="BD41" s="384"/>
      <c r="BE41" s="384"/>
      <c r="BF41" s="384"/>
      <c r="BG41" s="384"/>
      <c r="BH41" s="384"/>
      <c r="BI41" s="384"/>
      <c r="BJ41" s="384"/>
      <c r="BK41" s="384"/>
      <c r="BL41" s="384"/>
      <c r="BM41" s="384"/>
      <c r="BN41" s="384"/>
      <c r="BO41" s="384"/>
      <c r="BP41" s="384"/>
      <c r="BQ41" s="384"/>
      <c r="BR41" s="384"/>
      <c r="BS41" s="384"/>
      <c r="BT41" s="384"/>
      <c r="BU41" s="384"/>
      <c r="BV41" s="384"/>
      <c r="BW41" s="384"/>
      <c r="BX41" s="384"/>
      <c r="BY41" s="384"/>
      <c r="BZ41" s="384"/>
      <c r="CA41" s="384"/>
      <c r="CB41" s="384"/>
      <c r="CC41" s="384"/>
      <c r="CD41" s="384"/>
      <c r="CE41" s="384"/>
      <c r="CF41" s="384"/>
      <c r="CG41" s="384"/>
      <c r="CH41" s="384"/>
      <c r="CI41" s="384"/>
      <c r="CJ41" s="384"/>
      <c r="CK41" s="384"/>
      <c r="CL41" s="384"/>
      <c r="CM41" s="384"/>
      <c r="CN41" s="384"/>
      <c r="CO41" s="384"/>
      <c r="CP41" s="384"/>
      <c r="CQ41" s="384"/>
      <c r="CR41" s="384"/>
      <c r="CS41" s="384"/>
      <c r="CT41" s="384"/>
      <c r="CU41" s="384"/>
      <c r="CV41" s="384"/>
      <c r="CW41" s="384"/>
      <c r="CX41" s="384"/>
      <c r="CY41" s="384"/>
      <c r="CZ41" s="384"/>
      <c r="DA41" s="384"/>
      <c r="DB41" s="384"/>
      <c r="DC41" s="384"/>
      <c r="DD41" s="384"/>
      <c r="DE41" s="384"/>
      <c r="DF41" s="384"/>
      <c r="DG41" s="384"/>
      <c r="DH41" s="384"/>
      <c r="DI41" s="384"/>
      <c r="DJ41" s="384"/>
      <c r="DK41" s="384"/>
      <c r="DL41" s="384"/>
      <c r="DM41" s="384"/>
      <c r="DN41" s="384"/>
      <c r="DO41" s="384"/>
      <c r="DP41" s="384"/>
      <c r="DQ41" s="384"/>
      <c r="DR41" s="384"/>
      <c r="DS41" s="384"/>
      <c r="DT41" s="384"/>
      <c r="DU41" s="384"/>
      <c r="DV41" s="384"/>
      <c r="DW41" s="384"/>
      <c r="DX41" s="384"/>
      <c r="DY41" s="384"/>
      <c r="DZ41" s="384"/>
    </row>
    <row r="42" spans="1:130" hidden="1" outlineLevel="2">
      <c r="A42" s="438"/>
      <c r="B42" s="490" t="s">
        <v>237</v>
      </c>
      <c r="C42" s="398" t="s">
        <v>808</v>
      </c>
      <c r="D42" s="399" t="s">
        <v>391</v>
      </c>
      <c r="E42" s="385"/>
      <c r="F42" s="385"/>
      <c r="G42" s="396"/>
      <c r="H42" s="401" t="s">
        <v>1740</v>
      </c>
      <c r="I42" s="385" t="s">
        <v>172</v>
      </c>
      <c r="J42" s="489"/>
      <c r="K42" s="412"/>
      <c r="L42" s="412"/>
      <c r="M42" s="490" t="s">
        <v>813</v>
      </c>
      <c r="N42" s="490">
        <v>2</v>
      </c>
    </row>
    <row r="43" spans="1:130" hidden="1" outlineLevel="2">
      <c r="A43" s="438"/>
      <c r="B43" s="490" t="s">
        <v>237</v>
      </c>
      <c r="C43" s="398" t="s">
        <v>808</v>
      </c>
      <c r="D43" s="399" t="s">
        <v>391</v>
      </c>
      <c r="E43" s="385"/>
      <c r="F43" s="385"/>
      <c r="G43" s="396"/>
      <c r="H43" s="401" t="s">
        <v>3357</v>
      </c>
      <c r="I43" s="385" t="s">
        <v>821</v>
      </c>
      <c r="J43" s="489"/>
      <c r="K43" s="412"/>
      <c r="L43" s="412"/>
      <c r="M43" s="490" t="s">
        <v>813</v>
      </c>
      <c r="N43" s="490">
        <v>1</v>
      </c>
    </row>
    <row r="44" spans="1:130" s="411" customFormat="1" ht="52.9" customHeight="1" outlineLevel="1" collapsed="1">
      <c r="A44" s="489" t="s">
        <v>1247</v>
      </c>
      <c r="B44" s="490" t="s">
        <v>237</v>
      </c>
      <c r="C44" s="398" t="s">
        <v>808</v>
      </c>
      <c r="D44" s="398" t="s">
        <v>391</v>
      </c>
      <c r="E44" s="490" t="s">
        <v>1741</v>
      </c>
      <c r="F44" s="385" t="s">
        <v>810</v>
      </c>
      <c r="G44" s="385" t="s">
        <v>811</v>
      </c>
      <c r="H44" s="401" t="s">
        <v>1790</v>
      </c>
      <c r="I44" s="385" t="str">
        <f>CONCATENATE(I45," ",N45,M45," ",)</f>
        <v xml:space="preserve">Замена поврежденных изоляторов 2шт </v>
      </c>
      <c r="J44" s="385" t="s">
        <v>365</v>
      </c>
      <c r="K44" s="450">
        <v>44440</v>
      </c>
      <c r="L44" s="450">
        <v>44469</v>
      </c>
      <c r="M44" s="490"/>
      <c r="N44" s="490"/>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384"/>
      <c r="AR44" s="384"/>
      <c r="AS44" s="384"/>
      <c r="AT44" s="384"/>
      <c r="AU44" s="384"/>
      <c r="AV44" s="384"/>
      <c r="AW44" s="384"/>
      <c r="AX44" s="384"/>
      <c r="AY44" s="384"/>
      <c r="AZ44" s="384"/>
      <c r="BA44" s="384"/>
      <c r="BB44" s="384"/>
      <c r="BC44" s="384"/>
      <c r="BD44" s="384"/>
      <c r="BE44" s="384"/>
      <c r="BF44" s="384"/>
      <c r="BG44" s="384"/>
      <c r="BH44" s="384"/>
      <c r="BI44" s="384"/>
      <c r="BJ44" s="384"/>
      <c r="BK44" s="384"/>
      <c r="BL44" s="384"/>
      <c r="BM44" s="384"/>
      <c r="BN44" s="384"/>
      <c r="BO44" s="384"/>
      <c r="BP44" s="384"/>
      <c r="BQ44" s="384"/>
      <c r="BR44" s="384"/>
      <c r="BS44" s="384"/>
      <c r="BT44" s="384"/>
      <c r="BU44" s="384"/>
      <c r="BV44" s="384"/>
      <c r="BW44" s="384"/>
      <c r="BX44" s="384"/>
      <c r="BY44" s="384"/>
      <c r="BZ44" s="384"/>
      <c r="CA44" s="384"/>
      <c r="CB44" s="384"/>
      <c r="CC44" s="384"/>
      <c r="CD44" s="384"/>
      <c r="CE44" s="384"/>
      <c r="CF44" s="384"/>
      <c r="CG44" s="384"/>
      <c r="CH44" s="384"/>
      <c r="CI44" s="384"/>
      <c r="CJ44" s="384"/>
      <c r="CK44" s="384"/>
      <c r="CL44" s="384"/>
      <c r="CM44" s="384"/>
      <c r="CN44" s="384"/>
      <c r="CO44" s="384"/>
      <c r="CP44" s="384"/>
      <c r="CQ44" s="384"/>
      <c r="CR44" s="384"/>
      <c r="CS44" s="384"/>
      <c r="CT44" s="384"/>
      <c r="CU44" s="384"/>
      <c r="CV44" s="384"/>
      <c r="CW44" s="384"/>
      <c r="CX44" s="384"/>
      <c r="CY44" s="384"/>
      <c r="CZ44" s="384"/>
      <c r="DA44" s="384"/>
      <c r="DB44" s="384"/>
      <c r="DC44" s="384"/>
      <c r="DD44" s="384"/>
      <c r="DE44" s="384"/>
      <c r="DF44" s="384"/>
      <c r="DG44" s="384"/>
      <c r="DH44" s="384"/>
      <c r="DI44" s="384"/>
      <c r="DJ44" s="384"/>
      <c r="DK44" s="384"/>
      <c r="DL44" s="384"/>
      <c r="DM44" s="384"/>
      <c r="DN44" s="384"/>
      <c r="DO44" s="384"/>
      <c r="DP44" s="384"/>
      <c r="DQ44" s="384"/>
      <c r="DR44" s="384"/>
      <c r="DS44" s="384"/>
      <c r="DT44" s="384"/>
      <c r="DU44" s="384"/>
      <c r="DV44" s="384"/>
      <c r="DW44" s="384"/>
      <c r="DX44" s="384"/>
      <c r="DY44" s="384"/>
      <c r="DZ44" s="384"/>
    </row>
    <row r="45" spans="1:130" hidden="1" outlineLevel="2">
      <c r="A45" s="438"/>
      <c r="B45" s="490" t="s">
        <v>237</v>
      </c>
      <c r="C45" s="398" t="s">
        <v>808</v>
      </c>
      <c r="D45" s="399" t="s">
        <v>391</v>
      </c>
      <c r="E45" s="385"/>
      <c r="F45" s="385"/>
      <c r="G45" s="396"/>
      <c r="H45" s="401" t="s">
        <v>1742</v>
      </c>
      <c r="I45" s="385" t="s">
        <v>172</v>
      </c>
      <c r="J45" s="489"/>
      <c r="K45" s="412"/>
      <c r="L45" s="412"/>
      <c r="M45" s="490" t="s">
        <v>813</v>
      </c>
      <c r="N45" s="490">
        <v>2</v>
      </c>
    </row>
    <row r="46" spans="1:130" s="411" customFormat="1" ht="74.25" customHeight="1" outlineLevel="1" collapsed="1">
      <c r="A46" s="489" t="s">
        <v>1248</v>
      </c>
      <c r="B46" s="490" t="s">
        <v>237</v>
      </c>
      <c r="C46" s="398" t="s">
        <v>808</v>
      </c>
      <c r="D46" s="398" t="s">
        <v>391</v>
      </c>
      <c r="E46" s="490" t="s">
        <v>1190</v>
      </c>
      <c r="F46" s="385" t="s">
        <v>810</v>
      </c>
      <c r="G46" s="385"/>
      <c r="H46" s="401" t="s">
        <v>1577</v>
      </c>
      <c r="I46" s="385" t="str">
        <f>CONCATENATE(I47," ",N47,M47," ",I48," ",N48,M48,"")</f>
        <v>Замена поврежденных изоляторов 32шт. установка ремонтного зажима 6шт.</v>
      </c>
      <c r="J46" s="385" t="s">
        <v>365</v>
      </c>
      <c r="K46" s="450">
        <v>44348</v>
      </c>
      <c r="L46" s="450">
        <v>44408</v>
      </c>
      <c r="M46" s="490"/>
      <c r="N46" s="490"/>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4"/>
      <c r="AM46" s="384"/>
      <c r="AN46" s="384"/>
      <c r="AO46" s="384"/>
      <c r="AP46" s="384"/>
      <c r="AQ46" s="384"/>
      <c r="AR46" s="384"/>
      <c r="AS46" s="384"/>
      <c r="AT46" s="384"/>
      <c r="AU46" s="384"/>
      <c r="AV46" s="384"/>
      <c r="AW46" s="384"/>
      <c r="AX46" s="384"/>
      <c r="AY46" s="384"/>
      <c r="AZ46" s="384"/>
      <c r="BA46" s="384"/>
      <c r="BB46" s="384"/>
      <c r="BC46" s="384"/>
      <c r="BD46" s="384"/>
      <c r="BE46" s="384"/>
      <c r="BF46" s="384"/>
      <c r="BG46" s="384"/>
      <c r="BH46" s="384"/>
      <c r="BI46" s="384"/>
      <c r="BJ46" s="384"/>
      <c r="BK46" s="384"/>
      <c r="BL46" s="384"/>
      <c r="BM46" s="384"/>
      <c r="BN46" s="384"/>
      <c r="BO46" s="384"/>
      <c r="BP46" s="384"/>
      <c r="BQ46" s="384"/>
      <c r="BR46" s="384"/>
      <c r="BS46" s="384"/>
      <c r="BT46" s="384"/>
      <c r="BU46" s="384"/>
      <c r="BV46" s="384"/>
      <c r="BW46" s="384"/>
      <c r="BX46" s="384"/>
      <c r="BY46" s="384"/>
      <c r="BZ46" s="384"/>
      <c r="CA46" s="384"/>
      <c r="CB46" s="384"/>
      <c r="CC46" s="384"/>
      <c r="CD46" s="384"/>
      <c r="CE46" s="384"/>
      <c r="CF46" s="384"/>
      <c r="CG46" s="384"/>
      <c r="CH46" s="384"/>
      <c r="CI46" s="384"/>
      <c r="CJ46" s="384"/>
      <c r="CK46" s="384"/>
      <c r="CL46" s="384"/>
      <c r="CM46" s="384"/>
      <c r="CN46" s="384"/>
      <c r="CO46" s="384"/>
      <c r="CP46" s="384"/>
      <c r="CQ46" s="384"/>
      <c r="CR46" s="384"/>
      <c r="CS46" s="384"/>
      <c r="CT46" s="384"/>
      <c r="CU46" s="384"/>
      <c r="CV46" s="384"/>
      <c r="CW46" s="384"/>
      <c r="CX46" s="384"/>
      <c r="CY46" s="384"/>
      <c r="CZ46" s="384"/>
      <c r="DA46" s="384"/>
      <c r="DB46" s="384"/>
      <c r="DC46" s="384"/>
      <c r="DD46" s="384"/>
      <c r="DE46" s="384"/>
      <c r="DF46" s="384"/>
      <c r="DG46" s="384"/>
      <c r="DH46" s="384"/>
      <c r="DI46" s="384"/>
      <c r="DJ46" s="384"/>
      <c r="DK46" s="384"/>
      <c r="DL46" s="384"/>
      <c r="DM46" s="384"/>
      <c r="DN46" s="384"/>
      <c r="DO46" s="384"/>
      <c r="DP46" s="384"/>
      <c r="DQ46" s="384"/>
      <c r="DR46" s="384"/>
      <c r="DS46" s="384"/>
      <c r="DT46" s="384"/>
      <c r="DU46" s="384"/>
      <c r="DV46" s="384"/>
      <c r="DW46" s="384"/>
      <c r="DX46" s="384"/>
      <c r="DY46" s="384"/>
      <c r="DZ46" s="384"/>
    </row>
    <row r="47" spans="1:130" ht="87.75" hidden="1" customHeight="1" outlineLevel="2">
      <c r="A47" s="489"/>
      <c r="B47" s="490" t="s">
        <v>237</v>
      </c>
      <c r="C47" s="398" t="s">
        <v>808</v>
      </c>
      <c r="D47" s="398" t="s">
        <v>391</v>
      </c>
      <c r="E47" s="490"/>
      <c r="F47" s="385"/>
      <c r="G47" s="385"/>
      <c r="H47" s="401" t="s">
        <v>1193</v>
      </c>
      <c r="I47" s="385" t="s">
        <v>172</v>
      </c>
      <c r="J47" s="385"/>
      <c r="K47" s="401"/>
      <c r="L47" s="401"/>
      <c r="M47" s="490" t="s">
        <v>37</v>
      </c>
      <c r="N47" s="490">
        <f>N49+N51</f>
        <v>32</v>
      </c>
    </row>
    <row r="48" spans="1:130" ht="82.5" hidden="1" customHeight="1" outlineLevel="2">
      <c r="A48" s="489"/>
      <c r="B48" s="490" t="s">
        <v>237</v>
      </c>
      <c r="C48" s="398" t="s">
        <v>808</v>
      </c>
      <c r="D48" s="398" t="s">
        <v>391</v>
      </c>
      <c r="E48" s="490"/>
      <c r="F48" s="385"/>
      <c r="G48" s="385"/>
      <c r="H48" s="401" t="s">
        <v>3777</v>
      </c>
      <c r="I48" s="385" t="s">
        <v>821</v>
      </c>
      <c r="J48" s="385"/>
      <c r="K48" s="401"/>
      <c r="L48" s="401"/>
      <c r="M48" s="490" t="s">
        <v>37</v>
      </c>
      <c r="N48" s="490">
        <f>N50+N52</f>
        <v>6</v>
      </c>
    </row>
    <row r="49" spans="1:130" s="397" customFormat="1" hidden="1" outlineLevel="2">
      <c r="A49" s="438"/>
      <c r="B49" s="490" t="s">
        <v>237</v>
      </c>
      <c r="C49" s="398" t="s">
        <v>808</v>
      </c>
      <c r="D49" s="399" t="s">
        <v>391</v>
      </c>
      <c r="E49" s="396"/>
      <c r="F49" s="396"/>
      <c r="G49" s="396"/>
      <c r="H49" s="401" t="s">
        <v>1191</v>
      </c>
      <c r="I49" s="385" t="s">
        <v>172</v>
      </c>
      <c r="J49" s="489"/>
      <c r="K49" s="412"/>
      <c r="L49" s="412"/>
      <c r="M49" s="490" t="s">
        <v>37</v>
      </c>
      <c r="N49" s="490">
        <v>18</v>
      </c>
    </row>
    <row r="50" spans="1:130" s="397" customFormat="1" hidden="1" outlineLevel="2">
      <c r="A50" s="450"/>
      <c r="B50" s="490" t="s">
        <v>237</v>
      </c>
      <c r="C50" s="398" t="s">
        <v>808</v>
      </c>
      <c r="D50" s="399" t="s">
        <v>391</v>
      </c>
      <c r="E50" s="396"/>
      <c r="F50" s="396"/>
      <c r="G50" s="396"/>
      <c r="H50" s="401"/>
      <c r="I50" s="385" t="s">
        <v>821</v>
      </c>
      <c r="J50" s="489"/>
      <c r="K50" s="412"/>
      <c r="L50" s="412"/>
      <c r="M50" s="490" t="s">
        <v>37</v>
      </c>
      <c r="N50" s="490">
        <v>3</v>
      </c>
    </row>
    <row r="51" spans="1:130" s="397" customFormat="1" ht="43.5" hidden="1" customHeight="1" outlineLevel="2">
      <c r="A51" s="438"/>
      <c r="B51" s="490" t="s">
        <v>237</v>
      </c>
      <c r="C51" s="398" t="s">
        <v>808</v>
      </c>
      <c r="D51" s="399" t="s">
        <v>391</v>
      </c>
      <c r="E51" s="396"/>
      <c r="F51" s="396"/>
      <c r="G51" s="396"/>
      <c r="H51" s="401" t="s">
        <v>1192</v>
      </c>
      <c r="I51" s="385" t="s">
        <v>172</v>
      </c>
      <c r="J51" s="489"/>
      <c r="K51" s="412"/>
      <c r="L51" s="412"/>
      <c r="M51" s="490" t="s">
        <v>37</v>
      </c>
      <c r="N51" s="490">
        <v>14</v>
      </c>
    </row>
    <row r="52" spans="1:130" s="397" customFormat="1" hidden="1" outlineLevel="2">
      <c r="A52" s="438"/>
      <c r="B52" s="490" t="s">
        <v>237</v>
      </c>
      <c r="C52" s="398" t="s">
        <v>808</v>
      </c>
      <c r="D52" s="399" t="s">
        <v>391</v>
      </c>
      <c r="E52" s="396"/>
      <c r="F52" s="396"/>
      <c r="G52" s="396"/>
      <c r="H52" s="401"/>
      <c r="I52" s="385" t="s">
        <v>821</v>
      </c>
      <c r="J52" s="489"/>
      <c r="K52" s="412"/>
      <c r="L52" s="412"/>
      <c r="M52" s="490" t="s">
        <v>37</v>
      </c>
      <c r="N52" s="490">
        <v>3</v>
      </c>
    </row>
    <row r="53" spans="1:130" s="411" customFormat="1" ht="77.25" customHeight="1" outlineLevel="1" collapsed="1">
      <c r="A53" s="489" t="s">
        <v>1249</v>
      </c>
      <c r="B53" s="490" t="s">
        <v>237</v>
      </c>
      <c r="C53" s="398" t="s">
        <v>808</v>
      </c>
      <c r="D53" s="398" t="s">
        <v>391</v>
      </c>
      <c r="E53" s="490" t="s">
        <v>977</v>
      </c>
      <c r="F53" s="385" t="s">
        <v>1217</v>
      </c>
      <c r="G53" s="385" t="s">
        <v>1218</v>
      </c>
      <c r="H53" s="401" t="s">
        <v>3693</v>
      </c>
      <c r="I53" s="385" t="str">
        <f>CONCATENATE(I54," ",N54,M54," ")</f>
        <v xml:space="preserve">Замена поврежденных изоляторов 44шт. </v>
      </c>
      <c r="J53" s="385" t="s">
        <v>365</v>
      </c>
      <c r="K53" s="450">
        <v>44378</v>
      </c>
      <c r="L53" s="450">
        <v>44439</v>
      </c>
      <c r="M53" s="490"/>
      <c r="N53" s="490"/>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384"/>
      <c r="AM53" s="384"/>
      <c r="AN53" s="384"/>
      <c r="AO53" s="384"/>
      <c r="AP53" s="384"/>
      <c r="AQ53" s="384"/>
      <c r="AR53" s="384"/>
      <c r="AS53" s="384"/>
      <c r="AT53" s="384"/>
      <c r="AU53" s="384"/>
      <c r="AV53" s="384"/>
      <c r="AW53" s="384"/>
      <c r="AX53" s="384"/>
      <c r="AY53" s="384"/>
      <c r="AZ53" s="384"/>
      <c r="BA53" s="384"/>
      <c r="BB53" s="384"/>
      <c r="BC53" s="384"/>
      <c r="BD53" s="384"/>
      <c r="BE53" s="384"/>
      <c r="BF53" s="384"/>
      <c r="BG53" s="384"/>
      <c r="BH53" s="384"/>
      <c r="BI53" s="384"/>
      <c r="BJ53" s="384"/>
      <c r="BK53" s="384"/>
      <c r="BL53" s="384"/>
      <c r="BM53" s="384"/>
      <c r="BN53" s="384"/>
      <c r="BO53" s="384"/>
      <c r="BP53" s="384"/>
      <c r="BQ53" s="384"/>
      <c r="BR53" s="384"/>
      <c r="BS53" s="384"/>
      <c r="BT53" s="384"/>
      <c r="BU53" s="384"/>
      <c r="BV53" s="384"/>
      <c r="BW53" s="384"/>
      <c r="BX53" s="384"/>
      <c r="BY53" s="384"/>
      <c r="BZ53" s="384"/>
      <c r="CA53" s="384"/>
      <c r="CB53" s="384"/>
      <c r="CC53" s="384"/>
      <c r="CD53" s="384"/>
      <c r="CE53" s="384"/>
      <c r="CF53" s="384"/>
      <c r="CG53" s="384"/>
      <c r="CH53" s="384"/>
      <c r="CI53" s="384"/>
      <c r="CJ53" s="384"/>
      <c r="CK53" s="384"/>
      <c r="CL53" s="384"/>
      <c r="CM53" s="384"/>
      <c r="CN53" s="384"/>
      <c r="CO53" s="384"/>
      <c r="CP53" s="384"/>
      <c r="CQ53" s="384"/>
      <c r="CR53" s="384"/>
      <c r="CS53" s="384"/>
      <c r="CT53" s="384"/>
      <c r="CU53" s="384"/>
      <c r="CV53" s="384"/>
      <c r="CW53" s="384"/>
      <c r="CX53" s="384"/>
      <c r="CY53" s="384"/>
      <c r="CZ53" s="384"/>
      <c r="DA53" s="384"/>
      <c r="DB53" s="384"/>
      <c r="DC53" s="384"/>
      <c r="DD53" s="384"/>
      <c r="DE53" s="384"/>
      <c r="DF53" s="384"/>
      <c r="DG53" s="384"/>
      <c r="DH53" s="384"/>
      <c r="DI53" s="384"/>
      <c r="DJ53" s="384"/>
      <c r="DK53" s="384"/>
      <c r="DL53" s="384"/>
      <c r="DM53" s="384"/>
      <c r="DN53" s="384"/>
      <c r="DO53" s="384"/>
      <c r="DP53" s="384"/>
      <c r="DQ53" s="384"/>
      <c r="DR53" s="384"/>
      <c r="DS53" s="384"/>
      <c r="DT53" s="384"/>
      <c r="DU53" s="384"/>
      <c r="DV53" s="384"/>
      <c r="DW53" s="384"/>
      <c r="DX53" s="384"/>
      <c r="DY53" s="384"/>
      <c r="DZ53" s="384"/>
    </row>
    <row r="54" spans="1:130" ht="201" hidden="1" customHeight="1" outlineLevel="2">
      <c r="A54" s="489"/>
      <c r="B54" s="490" t="s">
        <v>237</v>
      </c>
      <c r="C54" s="398" t="s">
        <v>808</v>
      </c>
      <c r="D54" s="398" t="s">
        <v>391</v>
      </c>
      <c r="E54" s="490"/>
      <c r="F54" s="385"/>
      <c r="G54" s="385"/>
      <c r="H54" s="401" t="s">
        <v>1196</v>
      </c>
      <c r="I54" s="385" t="s">
        <v>172</v>
      </c>
      <c r="J54" s="385"/>
      <c r="K54" s="401"/>
      <c r="L54" s="401"/>
      <c r="M54" s="490" t="s">
        <v>37</v>
      </c>
      <c r="N54" s="490">
        <f>N55+N56</f>
        <v>44</v>
      </c>
    </row>
    <row r="55" spans="1:130" s="397" customFormat="1" hidden="1" outlineLevel="2">
      <c r="A55" s="438"/>
      <c r="B55" s="490" t="s">
        <v>237</v>
      </c>
      <c r="C55" s="398" t="s">
        <v>808</v>
      </c>
      <c r="D55" s="399" t="s">
        <v>391</v>
      </c>
      <c r="E55" s="396"/>
      <c r="F55" s="396"/>
      <c r="G55" s="396"/>
      <c r="H55" s="401" t="s">
        <v>1194</v>
      </c>
      <c r="I55" s="385" t="s">
        <v>172</v>
      </c>
      <c r="J55" s="489"/>
      <c r="K55" s="412"/>
      <c r="L55" s="412"/>
      <c r="M55" s="490" t="s">
        <v>37</v>
      </c>
      <c r="N55" s="490">
        <v>24</v>
      </c>
    </row>
    <row r="56" spans="1:130" s="397" customFormat="1" ht="43.5" hidden="1" customHeight="1" outlineLevel="2">
      <c r="A56" s="438"/>
      <c r="B56" s="490" t="s">
        <v>237</v>
      </c>
      <c r="C56" s="398" t="s">
        <v>808</v>
      </c>
      <c r="D56" s="399" t="s">
        <v>391</v>
      </c>
      <c r="E56" s="396"/>
      <c r="F56" s="396"/>
      <c r="G56" s="396"/>
      <c r="H56" s="401" t="s">
        <v>1195</v>
      </c>
      <c r="I56" s="385" t="s">
        <v>172</v>
      </c>
      <c r="J56" s="489"/>
      <c r="K56" s="412"/>
      <c r="L56" s="412"/>
      <c r="M56" s="490" t="s">
        <v>37</v>
      </c>
      <c r="N56" s="490">
        <v>20</v>
      </c>
    </row>
    <row r="57" spans="1:130" s="411" customFormat="1" ht="40.5" outlineLevel="1" collapsed="1">
      <c r="A57" s="489" t="s">
        <v>1250</v>
      </c>
      <c r="B57" s="490" t="s">
        <v>237</v>
      </c>
      <c r="C57" s="398" t="s">
        <v>808</v>
      </c>
      <c r="D57" s="398" t="s">
        <v>391</v>
      </c>
      <c r="E57" s="490" t="s">
        <v>1197</v>
      </c>
      <c r="F57" s="385" t="s">
        <v>810</v>
      </c>
      <c r="G57" s="385"/>
      <c r="H57" s="401" t="s">
        <v>3694</v>
      </c>
      <c r="I57" s="385" t="str">
        <f>CONCATENATE(I58," ",N58,M58," ")</f>
        <v xml:space="preserve">Замена поврежденных изоляторов 39шт. </v>
      </c>
      <c r="J57" s="385" t="s">
        <v>365</v>
      </c>
      <c r="K57" s="450">
        <v>44378</v>
      </c>
      <c r="L57" s="450">
        <v>44469</v>
      </c>
      <c r="M57" s="490"/>
      <c r="N57" s="490"/>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384"/>
      <c r="AY57" s="384"/>
      <c r="AZ57" s="384"/>
      <c r="BA57" s="384"/>
      <c r="BB57" s="384"/>
      <c r="BC57" s="384"/>
      <c r="BD57" s="384"/>
      <c r="BE57" s="384"/>
      <c r="BF57" s="384"/>
      <c r="BG57" s="384"/>
      <c r="BH57" s="384"/>
      <c r="BI57" s="384"/>
      <c r="BJ57" s="384"/>
      <c r="BK57" s="384"/>
      <c r="BL57" s="384"/>
      <c r="BM57" s="384"/>
      <c r="BN57" s="384"/>
      <c r="BO57" s="384"/>
      <c r="BP57" s="384"/>
      <c r="BQ57" s="384"/>
      <c r="BR57" s="384"/>
      <c r="BS57" s="384"/>
      <c r="BT57" s="384"/>
      <c r="BU57" s="384"/>
      <c r="BV57" s="384"/>
      <c r="BW57" s="384"/>
      <c r="BX57" s="384"/>
      <c r="BY57" s="384"/>
      <c r="BZ57" s="384"/>
      <c r="CA57" s="384"/>
      <c r="CB57" s="384"/>
      <c r="CC57" s="384"/>
      <c r="CD57" s="384"/>
      <c r="CE57" s="384"/>
      <c r="CF57" s="384"/>
      <c r="CG57" s="384"/>
      <c r="CH57" s="384"/>
      <c r="CI57" s="384"/>
      <c r="CJ57" s="384"/>
      <c r="CK57" s="384"/>
      <c r="CL57" s="384"/>
      <c r="CM57" s="384"/>
      <c r="CN57" s="384"/>
      <c r="CO57" s="384"/>
      <c r="CP57" s="384"/>
      <c r="CQ57" s="384"/>
      <c r="CR57" s="384"/>
      <c r="CS57" s="384"/>
      <c r="CT57" s="384"/>
      <c r="CU57" s="384"/>
      <c r="CV57" s="384"/>
      <c r="CW57" s="384"/>
      <c r="CX57" s="384"/>
      <c r="CY57" s="384"/>
      <c r="CZ57" s="384"/>
      <c r="DA57" s="384"/>
      <c r="DB57" s="384"/>
      <c r="DC57" s="384"/>
      <c r="DD57" s="384"/>
      <c r="DE57" s="384"/>
      <c r="DF57" s="384"/>
      <c r="DG57" s="384"/>
      <c r="DH57" s="384"/>
      <c r="DI57" s="384"/>
      <c r="DJ57" s="384"/>
      <c r="DK57" s="384"/>
      <c r="DL57" s="384"/>
      <c r="DM57" s="384"/>
      <c r="DN57" s="384"/>
      <c r="DO57" s="384"/>
      <c r="DP57" s="384"/>
      <c r="DQ57" s="384"/>
      <c r="DR57" s="384"/>
      <c r="DS57" s="384"/>
      <c r="DT57" s="384"/>
      <c r="DU57" s="384"/>
      <c r="DV57" s="384"/>
      <c r="DW57" s="384"/>
      <c r="DX57" s="384"/>
      <c r="DY57" s="384"/>
      <c r="DZ57" s="384"/>
    </row>
    <row r="58" spans="1:130" ht="201" hidden="1" customHeight="1" outlineLevel="2">
      <c r="A58" s="489"/>
      <c r="B58" s="490" t="s">
        <v>237</v>
      </c>
      <c r="C58" s="398" t="s">
        <v>808</v>
      </c>
      <c r="D58" s="398" t="s">
        <v>391</v>
      </c>
      <c r="E58" s="490"/>
      <c r="F58" s="385"/>
      <c r="G58" s="385"/>
      <c r="H58" s="401" t="s">
        <v>1198</v>
      </c>
      <c r="I58" s="385" t="s">
        <v>172</v>
      </c>
      <c r="J58" s="385"/>
      <c r="K58" s="401"/>
      <c r="L58" s="401"/>
      <c r="M58" s="490" t="s">
        <v>37</v>
      </c>
      <c r="N58" s="490">
        <f>N59+N60</f>
        <v>39</v>
      </c>
    </row>
    <row r="59" spans="1:130" s="397" customFormat="1" hidden="1" outlineLevel="2">
      <c r="A59" s="438"/>
      <c r="B59" s="490" t="s">
        <v>237</v>
      </c>
      <c r="C59" s="398" t="s">
        <v>808</v>
      </c>
      <c r="D59" s="399" t="s">
        <v>391</v>
      </c>
      <c r="E59" s="396"/>
      <c r="F59" s="396"/>
      <c r="G59" s="396"/>
      <c r="H59" s="401" t="s">
        <v>1199</v>
      </c>
      <c r="I59" s="385" t="s">
        <v>172</v>
      </c>
      <c r="J59" s="489"/>
      <c r="K59" s="412"/>
      <c r="L59" s="412"/>
      <c r="M59" s="490" t="s">
        <v>37</v>
      </c>
      <c r="N59" s="490">
        <v>21</v>
      </c>
    </row>
    <row r="60" spans="1:130" s="397" customFormat="1" ht="43.5" hidden="1" customHeight="1" outlineLevel="2">
      <c r="A60" s="438"/>
      <c r="B60" s="490" t="s">
        <v>237</v>
      </c>
      <c r="C60" s="398" t="s">
        <v>808</v>
      </c>
      <c r="D60" s="399" t="s">
        <v>391</v>
      </c>
      <c r="E60" s="396"/>
      <c r="F60" s="396"/>
      <c r="G60" s="396"/>
      <c r="H60" s="401" t="s">
        <v>1200</v>
      </c>
      <c r="I60" s="385" t="s">
        <v>172</v>
      </c>
      <c r="J60" s="489"/>
      <c r="K60" s="412"/>
      <c r="L60" s="412"/>
      <c r="M60" s="490" t="s">
        <v>37</v>
      </c>
      <c r="N60" s="490">
        <v>18</v>
      </c>
    </row>
    <row r="61" spans="1:130" s="411" customFormat="1" ht="69" customHeight="1" outlineLevel="1" collapsed="1">
      <c r="A61" s="489" t="s">
        <v>1251</v>
      </c>
      <c r="B61" s="490" t="s">
        <v>237</v>
      </c>
      <c r="C61" s="398" t="s">
        <v>808</v>
      </c>
      <c r="D61" s="398" t="s">
        <v>391</v>
      </c>
      <c r="E61" s="490" t="s">
        <v>1201</v>
      </c>
      <c r="F61" s="385" t="s">
        <v>810</v>
      </c>
      <c r="G61" s="385"/>
      <c r="H61" s="401" t="s">
        <v>3695</v>
      </c>
      <c r="I61" s="385" t="str">
        <f>CONCATENATE(I62," ",N62,M62," ",I63," ",N63,M63,"")</f>
        <v>Замена поврежденных изоляторов 15шт. установка ремонтного зажима 6шт.</v>
      </c>
      <c r="J61" s="385" t="s">
        <v>365</v>
      </c>
      <c r="K61" s="450">
        <v>44317</v>
      </c>
      <c r="L61" s="450">
        <v>44347</v>
      </c>
      <c r="M61" s="490"/>
      <c r="N61" s="490"/>
      <c r="O61" s="384"/>
      <c r="P61" s="384"/>
      <c r="Q61" s="384"/>
      <c r="R61" s="384"/>
      <c r="S61" s="384"/>
      <c r="T61" s="384"/>
      <c r="U61" s="384"/>
      <c r="V61" s="384"/>
      <c r="W61" s="384"/>
      <c r="X61" s="384"/>
      <c r="Y61" s="384"/>
      <c r="Z61" s="384"/>
      <c r="AA61" s="384"/>
      <c r="AB61" s="384"/>
      <c r="AC61" s="384"/>
      <c r="AD61" s="384"/>
      <c r="AE61" s="384"/>
      <c r="AF61" s="384"/>
      <c r="AG61" s="384"/>
      <c r="AH61" s="384"/>
      <c r="AI61" s="384"/>
      <c r="AJ61" s="384"/>
      <c r="AK61" s="384"/>
      <c r="AL61" s="384"/>
      <c r="AM61" s="384"/>
      <c r="AN61" s="384"/>
      <c r="AO61" s="384"/>
      <c r="AP61" s="384"/>
      <c r="AQ61" s="384"/>
      <c r="AR61" s="384"/>
      <c r="AS61" s="384"/>
      <c r="AT61" s="384"/>
      <c r="AU61" s="384"/>
      <c r="AV61" s="384"/>
      <c r="AW61" s="384"/>
      <c r="AX61" s="384"/>
      <c r="AY61" s="384"/>
      <c r="AZ61" s="384"/>
      <c r="BA61" s="384"/>
      <c r="BB61" s="384"/>
      <c r="BC61" s="384"/>
      <c r="BD61" s="384"/>
      <c r="BE61" s="384"/>
      <c r="BF61" s="384"/>
      <c r="BG61" s="384"/>
      <c r="BH61" s="384"/>
      <c r="BI61" s="384"/>
      <c r="BJ61" s="384"/>
      <c r="BK61" s="384"/>
      <c r="BL61" s="384"/>
      <c r="BM61" s="384"/>
      <c r="BN61" s="384"/>
      <c r="BO61" s="384"/>
      <c r="BP61" s="384"/>
      <c r="BQ61" s="384"/>
      <c r="BR61" s="384"/>
      <c r="BS61" s="384"/>
      <c r="BT61" s="384"/>
      <c r="BU61" s="384"/>
      <c r="BV61" s="384"/>
      <c r="BW61" s="384"/>
      <c r="BX61" s="384"/>
      <c r="BY61" s="384"/>
      <c r="BZ61" s="384"/>
      <c r="CA61" s="384"/>
      <c r="CB61" s="384"/>
      <c r="CC61" s="384"/>
      <c r="CD61" s="384"/>
      <c r="CE61" s="384"/>
      <c r="CF61" s="384"/>
      <c r="CG61" s="384"/>
      <c r="CH61" s="384"/>
      <c r="CI61" s="384"/>
      <c r="CJ61" s="384"/>
      <c r="CK61" s="384"/>
      <c r="CL61" s="384"/>
      <c r="CM61" s="384"/>
      <c r="CN61" s="384"/>
      <c r="CO61" s="384"/>
      <c r="CP61" s="384"/>
      <c r="CQ61" s="384"/>
      <c r="CR61" s="384"/>
      <c r="CS61" s="384"/>
      <c r="CT61" s="384"/>
      <c r="CU61" s="384"/>
      <c r="CV61" s="384"/>
      <c r="CW61" s="384"/>
      <c r="CX61" s="384"/>
      <c r="CY61" s="384"/>
      <c r="CZ61" s="384"/>
      <c r="DA61" s="384"/>
      <c r="DB61" s="384"/>
      <c r="DC61" s="384"/>
      <c r="DD61" s="384"/>
      <c r="DE61" s="384"/>
      <c r="DF61" s="384"/>
      <c r="DG61" s="384"/>
      <c r="DH61" s="384"/>
      <c r="DI61" s="384"/>
      <c r="DJ61" s="384"/>
      <c r="DK61" s="384"/>
      <c r="DL61" s="384"/>
      <c r="DM61" s="384"/>
      <c r="DN61" s="384"/>
      <c r="DO61" s="384"/>
      <c r="DP61" s="384"/>
      <c r="DQ61" s="384"/>
      <c r="DR61" s="384"/>
      <c r="DS61" s="384"/>
      <c r="DT61" s="384"/>
      <c r="DU61" s="384"/>
      <c r="DV61" s="384"/>
      <c r="DW61" s="384"/>
      <c r="DX61" s="384"/>
      <c r="DY61" s="384"/>
      <c r="DZ61" s="384"/>
    </row>
    <row r="62" spans="1:130" ht="87.75" hidden="1" customHeight="1" outlineLevel="2">
      <c r="A62" s="489"/>
      <c r="B62" s="490" t="s">
        <v>237</v>
      </c>
      <c r="C62" s="398" t="s">
        <v>808</v>
      </c>
      <c r="D62" s="398" t="s">
        <v>391</v>
      </c>
      <c r="E62" s="490"/>
      <c r="F62" s="385"/>
      <c r="G62" s="385"/>
      <c r="H62" s="401" t="s">
        <v>1204</v>
      </c>
      <c r="I62" s="385" t="s">
        <v>172</v>
      </c>
      <c r="J62" s="385"/>
      <c r="K62" s="401"/>
      <c r="L62" s="401"/>
      <c r="M62" s="490" t="s">
        <v>37</v>
      </c>
      <c r="N62" s="490">
        <f>N64+N66</f>
        <v>15</v>
      </c>
    </row>
    <row r="63" spans="1:130" ht="82.5" hidden="1" customHeight="1" outlineLevel="2">
      <c r="A63" s="489"/>
      <c r="B63" s="490" t="s">
        <v>237</v>
      </c>
      <c r="C63" s="398" t="s">
        <v>808</v>
      </c>
      <c r="D63" s="398" t="s">
        <v>391</v>
      </c>
      <c r="E63" s="490"/>
      <c r="F63" s="385"/>
      <c r="G63" s="385"/>
      <c r="H63" s="401" t="s">
        <v>1205</v>
      </c>
      <c r="I63" s="385" t="s">
        <v>821</v>
      </c>
      <c r="J63" s="385"/>
      <c r="K63" s="401"/>
      <c r="L63" s="401"/>
      <c r="M63" s="490" t="s">
        <v>37</v>
      </c>
      <c r="N63" s="490">
        <f>N65</f>
        <v>6</v>
      </c>
    </row>
    <row r="64" spans="1:130" s="397" customFormat="1" hidden="1" outlineLevel="2">
      <c r="A64" s="438"/>
      <c r="B64" s="490" t="s">
        <v>237</v>
      </c>
      <c r="C64" s="398" t="s">
        <v>808</v>
      </c>
      <c r="D64" s="399" t="s">
        <v>391</v>
      </c>
      <c r="E64" s="396"/>
      <c r="F64" s="396"/>
      <c r="G64" s="396"/>
      <c r="H64" s="401" t="s">
        <v>1202</v>
      </c>
      <c r="I64" s="385" t="s">
        <v>172</v>
      </c>
      <c r="J64" s="489"/>
      <c r="K64" s="412"/>
      <c r="L64" s="412"/>
      <c r="M64" s="490" t="s">
        <v>37</v>
      </c>
      <c r="N64" s="490">
        <v>7</v>
      </c>
    </row>
    <row r="65" spans="1:130" s="397" customFormat="1" hidden="1" outlineLevel="2">
      <c r="A65" s="450"/>
      <c r="B65" s="490" t="s">
        <v>237</v>
      </c>
      <c r="C65" s="398" t="s">
        <v>808</v>
      </c>
      <c r="D65" s="399" t="s">
        <v>391</v>
      </c>
      <c r="E65" s="396"/>
      <c r="F65" s="396"/>
      <c r="G65" s="396"/>
      <c r="H65" s="401"/>
      <c r="I65" s="385" t="s">
        <v>821</v>
      </c>
      <c r="J65" s="489"/>
      <c r="K65" s="412"/>
      <c r="L65" s="412"/>
      <c r="M65" s="490" t="s">
        <v>37</v>
      </c>
      <c r="N65" s="490">
        <v>6</v>
      </c>
    </row>
    <row r="66" spans="1:130" s="397" customFormat="1" ht="43.5" hidden="1" customHeight="1" outlineLevel="2">
      <c r="A66" s="438"/>
      <c r="B66" s="490" t="s">
        <v>237</v>
      </c>
      <c r="C66" s="398" t="s">
        <v>808</v>
      </c>
      <c r="D66" s="399" t="s">
        <v>391</v>
      </c>
      <c r="E66" s="396"/>
      <c r="F66" s="396"/>
      <c r="G66" s="396"/>
      <c r="H66" s="401" t="s">
        <v>1203</v>
      </c>
      <c r="I66" s="385" t="s">
        <v>172</v>
      </c>
      <c r="J66" s="489"/>
      <c r="K66" s="412"/>
      <c r="L66" s="412"/>
      <c r="M66" s="490" t="s">
        <v>37</v>
      </c>
      <c r="N66" s="490">
        <v>8</v>
      </c>
    </row>
    <row r="67" spans="1:130" s="411" customFormat="1" ht="68.25" customHeight="1" outlineLevel="1" collapsed="1">
      <c r="A67" s="489" t="s">
        <v>1746</v>
      </c>
      <c r="B67" s="490" t="s">
        <v>237</v>
      </c>
      <c r="C67" s="398" t="s">
        <v>808</v>
      </c>
      <c r="D67" s="398" t="s">
        <v>391</v>
      </c>
      <c r="E67" s="490" t="s">
        <v>970</v>
      </c>
      <c r="F67" s="385" t="s">
        <v>1217</v>
      </c>
      <c r="G67" s="385" t="s">
        <v>1218</v>
      </c>
      <c r="H67" s="401" t="s">
        <v>3696</v>
      </c>
      <c r="I67" s="385" t="str">
        <f>CONCATENATE(I68," ",N68,M68," ")</f>
        <v xml:space="preserve">Замена поврежденных изоляторов 16шт. </v>
      </c>
      <c r="J67" s="385" t="s">
        <v>365</v>
      </c>
      <c r="K67" s="450">
        <v>44287</v>
      </c>
      <c r="L67" s="450">
        <v>44377</v>
      </c>
      <c r="M67" s="490"/>
      <c r="N67" s="490"/>
      <c r="O67" s="384"/>
      <c r="P67" s="384"/>
      <c r="Q67" s="384"/>
      <c r="R67" s="384"/>
      <c r="S67" s="384"/>
      <c r="T67" s="384"/>
      <c r="U67" s="384"/>
      <c r="V67" s="384"/>
      <c r="W67" s="384"/>
      <c r="X67" s="384"/>
      <c r="Y67" s="384"/>
      <c r="Z67" s="384"/>
      <c r="AA67" s="384"/>
      <c r="AB67" s="384"/>
      <c r="AC67" s="384"/>
      <c r="AD67" s="384"/>
      <c r="AE67" s="384"/>
      <c r="AF67" s="384"/>
      <c r="AG67" s="384"/>
      <c r="AH67" s="384"/>
      <c r="AI67" s="384"/>
      <c r="AJ67" s="384"/>
      <c r="AK67" s="384"/>
      <c r="AL67" s="384"/>
      <c r="AM67" s="384"/>
      <c r="AN67" s="384"/>
      <c r="AO67" s="384"/>
      <c r="AP67" s="384"/>
      <c r="AQ67" s="384"/>
      <c r="AR67" s="384"/>
      <c r="AS67" s="384"/>
      <c r="AT67" s="384"/>
      <c r="AU67" s="384"/>
      <c r="AV67" s="384"/>
      <c r="AW67" s="384"/>
      <c r="AX67" s="384"/>
      <c r="AY67" s="384"/>
      <c r="AZ67" s="384"/>
      <c r="BA67" s="384"/>
      <c r="BB67" s="384"/>
      <c r="BC67" s="384"/>
      <c r="BD67" s="384"/>
      <c r="BE67" s="384"/>
      <c r="BF67" s="384"/>
      <c r="BG67" s="384"/>
      <c r="BH67" s="384"/>
      <c r="BI67" s="384"/>
      <c r="BJ67" s="384"/>
      <c r="BK67" s="384"/>
      <c r="BL67" s="384"/>
      <c r="BM67" s="384"/>
      <c r="BN67" s="384"/>
      <c r="BO67" s="384"/>
      <c r="BP67" s="384"/>
      <c r="BQ67" s="384"/>
      <c r="BR67" s="384"/>
      <c r="BS67" s="384"/>
      <c r="BT67" s="384"/>
      <c r="BU67" s="384"/>
      <c r="BV67" s="384"/>
      <c r="BW67" s="384"/>
      <c r="BX67" s="384"/>
      <c r="BY67" s="384"/>
      <c r="BZ67" s="384"/>
      <c r="CA67" s="384"/>
      <c r="CB67" s="384"/>
      <c r="CC67" s="384"/>
      <c r="CD67" s="384"/>
      <c r="CE67" s="384"/>
      <c r="CF67" s="384"/>
      <c r="CG67" s="384"/>
      <c r="CH67" s="384"/>
      <c r="CI67" s="384"/>
      <c r="CJ67" s="384"/>
      <c r="CK67" s="384"/>
      <c r="CL67" s="384"/>
      <c r="CM67" s="384"/>
      <c r="CN67" s="384"/>
      <c r="CO67" s="384"/>
      <c r="CP67" s="384"/>
      <c r="CQ67" s="384"/>
      <c r="CR67" s="384"/>
      <c r="CS67" s="384"/>
      <c r="CT67" s="384"/>
      <c r="CU67" s="384"/>
      <c r="CV67" s="384"/>
      <c r="CW67" s="384"/>
      <c r="CX67" s="384"/>
      <c r="CY67" s="384"/>
      <c r="CZ67" s="384"/>
      <c r="DA67" s="384"/>
      <c r="DB67" s="384"/>
      <c r="DC67" s="384"/>
      <c r="DD67" s="384"/>
      <c r="DE67" s="384"/>
      <c r="DF67" s="384"/>
      <c r="DG67" s="384"/>
      <c r="DH67" s="384"/>
      <c r="DI67" s="384"/>
      <c r="DJ67" s="384"/>
      <c r="DK67" s="384"/>
      <c r="DL67" s="384"/>
      <c r="DM67" s="384"/>
      <c r="DN67" s="384"/>
      <c r="DO67" s="384"/>
      <c r="DP67" s="384"/>
      <c r="DQ67" s="384"/>
      <c r="DR67" s="384"/>
      <c r="DS67" s="384"/>
      <c r="DT67" s="384"/>
      <c r="DU67" s="384"/>
      <c r="DV67" s="384"/>
      <c r="DW67" s="384"/>
      <c r="DX67" s="384"/>
      <c r="DY67" s="384"/>
      <c r="DZ67" s="384"/>
    </row>
    <row r="68" spans="1:130" ht="60.75" hidden="1" outlineLevel="2">
      <c r="A68" s="489"/>
      <c r="B68" s="490" t="s">
        <v>237</v>
      </c>
      <c r="C68" s="398" t="s">
        <v>808</v>
      </c>
      <c r="D68" s="398" t="s">
        <v>391</v>
      </c>
      <c r="E68" s="490"/>
      <c r="F68" s="385"/>
      <c r="G68" s="385"/>
      <c r="H68" s="401" t="s">
        <v>1208</v>
      </c>
      <c r="I68" s="385" t="s">
        <v>172</v>
      </c>
      <c r="J68" s="385"/>
      <c r="K68" s="401"/>
      <c r="L68" s="401"/>
      <c r="M68" s="490" t="s">
        <v>37</v>
      </c>
      <c r="N68" s="490">
        <f>N69+N70</f>
        <v>16</v>
      </c>
    </row>
    <row r="69" spans="1:130" s="397" customFormat="1" hidden="1" outlineLevel="2">
      <c r="A69" s="438"/>
      <c r="B69" s="490" t="s">
        <v>237</v>
      </c>
      <c r="C69" s="398" t="s">
        <v>808</v>
      </c>
      <c r="D69" s="399" t="s">
        <v>391</v>
      </c>
      <c r="E69" s="396"/>
      <c r="F69" s="396"/>
      <c r="G69" s="396"/>
      <c r="H69" s="401" t="s">
        <v>1206</v>
      </c>
      <c r="I69" s="385" t="s">
        <v>172</v>
      </c>
      <c r="J69" s="489"/>
      <c r="K69" s="412"/>
      <c r="L69" s="412"/>
      <c r="M69" s="490" t="s">
        <v>37</v>
      </c>
      <c r="N69" s="490">
        <v>10</v>
      </c>
    </row>
    <row r="70" spans="1:130" s="397" customFormat="1" hidden="1" outlineLevel="2">
      <c r="A70" s="438"/>
      <c r="B70" s="490" t="s">
        <v>237</v>
      </c>
      <c r="C70" s="398" t="s">
        <v>808</v>
      </c>
      <c r="D70" s="399" t="s">
        <v>391</v>
      </c>
      <c r="E70" s="396"/>
      <c r="F70" s="396"/>
      <c r="G70" s="396"/>
      <c r="H70" s="401" t="s">
        <v>1207</v>
      </c>
      <c r="I70" s="385" t="s">
        <v>172</v>
      </c>
      <c r="J70" s="489"/>
      <c r="K70" s="412"/>
      <c r="L70" s="412"/>
      <c r="M70" s="490" t="s">
        <v>37</v>
      </c>
      <c r="N70" s="490">
        <v>6</v>
      </c>
    </row>
    <row r="71" spans="1:130" s="411" customFormat="1" ht="64.5" customHeight="1" outlineLevel="1" collapsed="1">
      <c r="A71" s="489" t="s">
        <v>1252</v>
      </c>
      <c r="B71" s="490" t="s">
        <v>237</v>
      </c>
      <c r="C71" s="398" t="s">
        <v>808</v>
      </c>
      <c r="D71" s="398" t="s">
        <v>391</v>
      </c>
      <c r="E71" s="490" t="s">
        <v>814</v>
      </c>
      <c r="F71" s="385" t="s">
        <v>1618</v>
      </c>
      <c r="G71" s="385" t="s">
        <v>1619</v>
      </c>
      <c r="H71" s="401" t="s">
        <v>815</v>
      </c>
      <c r="I71" s="385" t="str">
        <f>CONCATENATE(I72," ",N72,M72," ",)</f>
        <v xml:space="preserve">установка ПЗУ 51шт </v>
      </c>
      <c r="J71" s="385" t="s">
        <v>365</v>
      </c>
      <c r="K71" s="450">
        <v>44378</v>
      </c>
      <c r="L71" s="450">
        <v>44469</v>
      </c>
      <c r="M71" s="490"/>
      <c r="N71" s="490"/>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c r="AL71" s="384"/>
      <c r="AM71" s="384"/>
      <c r="AN71" s="384"/>
      <c r="AO71" s="384"/>
      <c r="AP71" s="384"/>
      <c r="AQ71" s="384"/>
      <c r="AR71" s="384"/>
      <c r="AS71" s="384"/>
      <c r="AT71" s="384"/>
      <c r="AU71" s="384"/>
      <c r="AV71" s="384"/>
      <c r="AW71" s="384"/>
      <c r="AX71" s="384"/>
      <c r="AY71" s="384"/>
      <c r="AZ71" s="384"/>
      <c r="BA71" s="384"/>
      <c r="BB71" s="384"/>
      <c r="BC71" s="384"/>
      <c r="BD71" s="384"/>
      <c r="BE71" s="384"/>
      <c r="BF71" s="384"/>
      <c r="BG71" s="384"/>
      <c r="BH71" s="384"/>
      <c r="BI71" s="384"/>
      <c r="BJ71" s="384"/>
      <c r="BK71" s="384"/>
      <c r="BL71" s="384"/>
      <c r="BM71" s="384"/>
      <c r="BN71" s="384"/>
      <c r="BO71" s="384"/>
      <c r="BP71" s="384"/>
      <c r="BQ71" s="384"/>
      <c r="BR71" s="384"/>
      <c r="BS71" s="384"/>
      <c r="BT71" s="384"/>
      <c r="BU71" s="384"/>
      <c r="BV71" s="384"/>
      <c r="BW71" s="384"/>
      <c r="BX71" s="384"/>
      <c r="BY71" s="384"/>
      <c r="BZ71" s="384"/>
      <c r="CA71" s="384"/>
      <c r="CB71" s="384"/>
      <c r="CC71" s="384"/>
      <c r="CD71" s="384"/>
      <c r="CE71" s="384"/>
      <c r="CF71" s="384"/>
      <c r="CG71" s="384"/>
      <c r="CH71" s="384"/>
      <c r="CI71" s="384"/>
      <c r="CJ71" s="384"/>
      <c r="CK71" s="384"/>
      <c r="CL71" s="384"/>
      <c r="CM71" s="384"/>
      <c r="CN71" s="384"/>
      <c r="CO71" s="384"/>
      <c r="CP71" s="384"/>
      <c r="CQ71" s="384"/>
      <c r="CR71" s="384"/>
      <c r="CS71" s="384"/>
      <c r="CT71" s="384"/>
      <c r="CU71" s="384"/>
      <c r="CV71" s="384"/>
      <c r="CW71" s="384"/>
      <c r="CX71" s="384"/>
      <c r="CY71" s="384"/>
      <c r="CZ71" s="384"/>
      <c r="DA71" s="384"/>
      <c r="DB71" s="384"/>
      <c r="DC71" s="384"/>
      <c r="DD71" s="384"/>
      <c r="DE71" s="384"/>
      <c r="DF71" s="384"/>
      <c r="DG71" s="384"/>
      <c r="DH71" s="384"/>
      <c r="DI71" s="384"/>
      <c r="DJ71" s="384"/>
      <c r="DK71" s="384"/>
      <c r="DL71" s="384"/>
      <c r="DM71" s="384"/>
      <c r="DN71" s="384"/>
      <c r="DO71" s="384"/>
      <c r="DP71" s="384"/>
      <c r="DQ71" s="384"/>
      <c r="DR71" s="384"/>
      <c r="DS71" s="384"/>
      <c r="DT71" s="384"/>
      <c r="DU71" s="384"/>
      <c r="DV71" s="384"/>
      <c r="DW71" s="384"/>
      <c r="DX71" s="384"/>
      <c r="DY71" s="384"/>
      <c r="DZ71" s="384"/>
    </row>
    <row r="72" spans="1:130" hidden="1" outlineLevel="2">
      <c r="A72" s="438"/>
      <c r="B72" s="490" t="s">
        <v>237</v>
      </c>
      <c r="C72" s="398" t="s">
        <v>808</v>
      </c>
      <c r="D72" s="399" t="s">
        <v>391</v>
      </c>
      <c r="E72" s="385"/>
      <c r="F72" s="385"/>
      <c r="G72" s="396"/>
      <c r="H72" s="401" t="s">
        <v>816</v>
      </c>
      <c r="I72" s="385" t="s">
        <v>817</v>
      </c>
      <c r="J72" s="489"/>
      <c r="K72" s="412"/>
      <c r="L72" s="412"/>
      <c r="M72" s="490" t="s">
        <v>813</v>
      </c>
      <c r="N72" s="490">
        <v>51</v>
      </c>
    </row>
    <row r="73" spans="1:130" s="411" customFormat="1" ht="40.5" outlineLevel="1" collapsed="1">
      <c r="A73" s="490" t="s">
        <v>1253</v>
      </c>
      <c r="B73" s="490" t="s">
        <v>237</v>
      </c>
      <c r="C73" s="398" t="s">
        <v>808</v>
      </c>
      <c r="D73" s="398" t="s">
        <v>391</v>
      </c>
      <c r="E73" s="490" t="s">
        <v>818</v>
      </c>
      <c r="F73" s="385" t="s">
        <v>810</v>
      </c>
      <c r="G73" s="385"/>
      <c r="H73" s="401" t="s">
        <v>819</v>
      </c>
      <c r="I73" s="385" t="str">
        <f>CONCATENATE(I74," ",N74,M74," ",)</f>
        <v xml:space="preserve">установка ремонтного зажима 1шт </v>
      </c>
      <c r="J73" s="385" t="s">
        <v>365</v>
      </c>
      <c r="K73" s="450">
        <v>44409</v>
      </c>
      <c r="L73" s="450">
        <v>44439</v>
      </c>
      <c r="M73" s="490"/>
      <c r="N73" s="490"/>
      <c r="O73" s="384"/>
      <c r="P73" s="384"/>
      <c r="Q73" s="384"/>
      <c r="R73" s="384"/>
      <c r="S73" s="384"/>
      <c r="T73" s="384"/>
      <c r="U73" s="384"/>
      <c r="V73" s="384"/>
      <c r="W73" s="384"/>
      <c r="X73" s="384"/>
      <c r="Y73" s="384"/>
      <c r="Z73" s="384"/>
      <c r="AA73" s="384"/>
      <c r="AB73" s="384"/>
      <c r="AC73" s="384"/>
      <c r="AD73" s="384"/>
      <c r="AE73" s="384"/>
      <c r="AF73" s="384"/>
      <c r="AG73" s="384"/>
      <c r="AH73" s="384"/>
      <c r="AI73" s="384"/>
      <c r="AJ73" s="384"/>
      <c r="AK73" s="384"/>
      <c r="AL73" s="384"/>
      <c r="AM73" s="384"/>
      <c r="AN73" s="384"/>
      <c r="AO73" s="384"/>
      <c r="AP73" s="384"/>
      <c r="AQ73" s="384"/>
      <c r="AR73" s="384"/>
      <c r="AS73" s="384"/>
      <c r="AT73" s="384"/>
      <c r="AU73" s="384"/>
      <c r="AV73" s="384"/>
      <c r="AW73" s="384"/>
      <c r="AX73" s="384"/>
      <c r="AY73" s="384"/>
      <c r="AZ73" s="384"/>
      <c r="BA73" s="384"/>
      <c r="BB73" s="384"/>
      <c r="BC73" s="384"/>
      <c r="BD73" s="384"/>
      <c r="BE73" s="384"/>
      <c r="BF73" s="384"/>
      <c r="BG73" s="384"/>
      <c r="BH73" s="384"/>
      <c r="BI73" s="384"/>
      <c r="BJ73" s="384"/>
      <c r="BK73" s="384"/>
      <c r="BL73" s="384"/>
      <c r="BM73" s="384"/>
      <c r="BN73" s="384"/>
      <c r="BO73" s="384"/>
      <c r="BP73" s="384"/>
      <c r="BQ73" s="384"/>
      <c r="BR73" s="384"/>
      <c r="BS73" s="384"/>
      <c r="BT73" s="384"/>
      <c r="BU73" s="384"/>
      <c r="BV73" s="384"/>
      <c r="BW73" s="384"/>
      <c r="BX73" s="384"/>
      <c r="BY73" s="384"/>
      <c r="BZ73" s="384"/>
      <c r="CA73" s="384"/>
      <c r="CB73" s="384"/>
      <c r="CC73" s="384"/>
      <c r="CD73" s="384"/>
      <c r="CE73" s="384"/>
      <c r="CF73" s="384"/>
      <c r="CG73" s="384"/>
      <c r="CH73" s="384"/>
      <c r="CI73" s="384"/>
      <c r="CJ73" s="384"/>
      <c r="CK73" s="384"/>
      <c r="CL73" s="384"/>
      <c r="CM73" s="384"/>
      <c r="CN73" s="384"/>
      <c r="CO73" s="384"/>
      <c r="CP73" s="384"/>
      <c r="CQ73" s="384"/>
      <c r="CR73" s="384"/>
      <c r="CS73" s="384"/>
      <c r="CT73" s="384"/>
      <c r="CU73" s="384"/>
      <c r="CV73" s="384"/>
      <c r="CW73" s="384"/>
      <c r="CX73" s="384"/>
      <c r="CY73" s="384"/>
      <c r="CZ73" s="384"/>
      <c r="DA73" s="384"/>
      <c r="DB73" s="384"/>
      <c r="DC73" s="384"/>
      <c r="DD73" s="384"/>
      <c r="DE73" s="384"/>
      <c r="DF73" s="384"/>
      <c r="DG73" s="384"/>
      <c r="DH73" s="384"/>
      <c r="DI73" s="384"/>
      <c r="DJ73" s="384"/>
      <c r="DK73" s="384"/>
      <c r="DL73" s="384"/>
      <c r="DM73" s="384"/>
      <c r="DN73" s="384"/>
      <c r="DO73" s="384"/>
      <c r="DP73" s="384"/>
      <c r="DQ73" s="384"/>
      <c r="DR73" s="384"/>
      <c r="DS73" s="384"/>
      <c r="DT73" s="384"/>
      <c r="DU73" s="384"/>
      <c r="DV73" s="384"/>
      <c r="DW73" s="384"/>
      <c r="DX73" s="384"/>
      <c r="DY73" s="384"/>
      <c r="DZ73" s="384"/>
    </row>
    <row r="74" spans="1:130" hidden="1" outlineLevel="2">
      <c r="A74" s="490"/>
      <c r="B74" s="490" t="s">
        <v>237</v>
      </c>
      <c r="C74" s="398" t="s">
        <v>808</v>
      </c>
      <c r="D74" s="399" t="s">
        <v>391</v>
      </c>
      <c r="E74" s="385"/>
      <c r="F74" s="385"/>
      <c r="G74" s="396"/>
      <c r="H74" s="401" t="s">
        <v>820</v>
      </c>
      <c r="I74" s="385" t="s">
        <v>821</v>
      </c>
      <c r="J74" s="489"/>
      <c r="K74" s="412"/>
      <c r="L74" s="412"/>
      <c r="M74" s="490" t="s">
        <v>813</v>
      </c>
      <c r="N74" s="490">
        <v>1</v>
      </c>
    </row>
    <row r="75" spans="1:130" s="384" customFormat="1" ht="40.5" outlineLevel="1" collapsed="1">
      <c r="A75" s="490" t="s">
        <v>1254</v>
      </c>
      <c r="B75" s="490" t="s">
        <v>237</v>
      </c>
      <c r="C75" s="398" t="s">
        <v>808</v>
      </c>
      <c r="D75" s="398" t="s">
        <v>391</v>
      </c>
      <c r="E75" s="490" t="s">
        <v>970</v>
      </c>
      <c r="F75" s="385" t="s">
        <v>1211</v>
      </c>
      <c r="G75" s="385" t="s">
        <v>1212</v>
      </c>
      <c r="H75" s="401" t="s">
        <v>1795</v>
      </c>
      <c r="I75" s="385" t="str">
        <f>CONCATENATE(I78," ",N78,M78," ",I77," ",N77,M77," ",I76," ",N76,M76," ",)</f>
        <v xml:space="preserve">ручная расчистка 0,26га обрезка крон деревьев 1096шт расширение просек 2,83га </v>
      </c>
      <c r="J75" s="385" t="s">
        <v>365</v>
      </c>
      <c r="K75" s="450">
        <v>44440</v>
      </c>
      <c r="L75" s="450">
        <v>44561</v>
      </c>
      <c r="M75" s="490"/>
      <c r="N75" s="490"/>
    </row>
    <row r="76" spans="1:130" hidden="1" outlineLevel="2">
      <c r="A76" s="490"/>
      <c r="B76" s="490" t="s">
        <v>237</v>
      </c>
      <c r="C76" s="398" t="s">
        <v>808</v>
      </c>
      <c r="D76" s="399" t="s">
        <v>391</v>
      </c>
      <c r="E76" s="385"/>
      <c r="F76" s="385"/>
      <c r="G76" s="396"/>
      <c r="H76" s="401" t="s">
        <v>1727</v>
      </c>
      <c r="I76" s="385" t="s">
        <v>1726</v>
      </c>
      <c r="J76" s="489"/>
      <c r="K76" s="412"/>
      <c r="L76" s="412"/>
      <c r="M76" s="490" t="s">
        <v>117</v>
      </c>
      <c r="N76" s="490">
        <v>2.83</v>
      </c>
    </row>
    <row r="77" spans="1:130" hidden="1" outlineLevel="2">
      <c r="A77" s="490"/>
      <c r="B77" s="490" t="s">
        <v>237</v>
      </c>
      <c r="C77" s="398" t="s">
        <v>808</v>
      </c>
      <c r="D77" s="399" t="s">
        <v>391</v>
      </c>
      <c r="E77" s="385"/>
      <c r="F77" s="385"/>
      <c r="G77" s="385"/>
      <c r="H77" s="401" t="s">
        <v>1502</v>
      </c>
      <c r="I77" s="385" t="s">
        <v>840</v>
      </c>
      <c r="J77" s="489"/>
      <c r="K77" s="412"/>
      <c r="L77" s="412"/>
      <c r="M77" s="490" t="s">
        <v>813</v>
      </c>
      <c r="N77" s="403">
        <v>1096</v>
      </c>
    </row>
    <row r="78" spans="1:130" hidden="1" outlineLevel="2">
      <c r="A78" s="490"/>
      <c r="B78" s="490" t="s">
        <v>237</v>
      </c>
      <c r="C78" s="398" t="s">
        <v>808</v>
      </c>
      <c r="D78" s="399" t="s">
        <v>391</v>
      </c>
      <c r="E78" s="385"/>
      <c r="F78" s="385"/>
      <c r="G78" s="385"/>
      <c r="H78" s="401" t="s">
        <v>1502</v>
      </c>
      <c r="I78" s="385" t="s">
        <v>864</v>
      </c>
      <c r="J78" s="489"/>
      <c r="K78" s="412"/>
      <c r="L78" s="412"/>
      <c r="M78" s="490" t="s">
        <v>117</v>
      </c>
      <c r="N78" s="435">
        <f>0.18+0.08</f>
        <v>0.26</v>
      </c>
    </row>
    <row r="79" spans="1:130" ht="66.75" hidden="1" customHeight="1" outlineLevel="2">
      <c r="A79" s="490"/>
      <c r="B79" s="490" t="s">
        <v>237</v>
      </c>
      <c r="C79" s="398" t="s">
        <v>808</v>
      </c>
      <c r="D79" s="399" t="s">
        <v>391</v>
      </c>
      <c r="E79" s="385"/>
      <c r="F79" s="385"/>
      <c r="G79" s="396"/>
      <c r="H79" s="401" t="s">
        <v>3833</v>
      </c>
      <c r="I79" s="385" t="s">
        <v>1726</v>
      </c>
      <c r="J79" s="489"/>
      <c r="K79" s="412"/>
      <c r="L79" s="412"/>
      <c r="M79" s="490" t="s">
        <v>117</v>
      </c>
      <c r="N79" s="490">
        <v>1.42</v>
      </c>
    </row>
    <row r="80" spans="1:130" ht="60.75" hidden="1" outlineLevel="2">
      <c r="A80" s="490"/>
      <c r="B80" s="490" t="s">
        <v>237</v>
      </c>
      <c r="C80" s="398" t="s">
        <v>808</v>
      </c>
      <c r="D80" s="399" t="s">
        <v>391</v>
      </c>
      <c r="E80" s="385"/>
      <c r="F80" s="385"/>
      <c r="G80" s="385"/>
      <c r="H80" s="401" t="s">
        <v>3834</v>
      </c>
      <c r="I80" s="385" t="s">
        <v>840</v>
      </c>
      <c r="J80" s="489"/>
      <c r="K80" s="412"/>
      <c r="L80" s="412"/>
      <c r="M80" s="490" t="s">
        <v>813</v>
      </c>
      <c r="N80" s="403">
        <f>N77/2</f>
        <v>548</v>
      </c>
    </row>
    <row r="81" spans="1:14" ht="111" hidden="1" customHeight="1" outlineLevel="2">
      <c r="A81" s="490"/>
      <c r="B81" s="490" t="s">
        <v>237</v>
      </c>
      <c r="C81" s="398" t="s">
        <v>808</v>
      </c>
      <c r="D81" s="399" t="s">
        <v>391</v>
      </c>
      <c r="E81" s="385"/>
      <c r="F81" s="385"/>
      <c r="G81" s="385"/>
      <c r="H81" s="401" t="s">
        <v>3835</v>
      </c>
      <c r="I81" s="385" t="s">
        <v>864</v>
      </c>
      <c r="J81" s="489"/>
      <c r="K81" s="412"/>
      <c r="L81" s="412"/>
      <c r="M81" s="490" t="s">
        <v>117</v>
      </c>
      <c r="N81" s="435">
        <v>0.13</v>
      </c>
    </row>
    <row r="82" spans="1:14" ht="64.5" hidden="1" customHeight="1" outlineLevel="2">
      <c r="A82" s="490"/>
      <c r="B82" s="490" t="s">
        <v>237</v>
      </c>
      <c r="C82" s="398" t="s">
        <v>808</v>
      </c>
      <c r="D82" s="399" t="s">
        <v>391</v>
      </c>
      <c r="E82" s="385"/>
      <c r="F82" s="385"/>
      <c r="G82" s="396"/>
      <c r="H82" s="401" t="s">
        <v>3836</v>
      </c>
      <c r="I82" s="385" t="s">
        <v>1726</v>
      </c>
      <c r="J82" s="489"/>
      <c r="K82" s="412"/>
      <c r="L82" s="412"/>
      <c r="M82" s="490" t="s">
        <v>117</v>
      </c>
      <c r="N82" s="490">
        <v>1.41</v>
      </c>
    </row>
    <row r="83" spans="1:14" ht="60.75" hidden="1" outlineLevel="2">
      <c r="A83" s="490"/>
      <c r="B83" s="490" t="s">
        <v>237</v>
      </c>
      <c r="C83" s="398" t="s">
        <v>808</v>
      </c>
      <c r="D83" s="399" t="s">
        <v>391</v>
      </c>
      <c r="E83" s="385"/>
      <c r="F83" s="385"/>
      <c r="G83" s="385"/>
      <c r="H83" s="401" t="s">
        <v>3837</v>
      </c>
      <c r="I83" s="385" t="s">
        <v>840</v>
      </c>
      <c r="J83" s="489"/>
      <c r="K83" s="412"/>
      <c r="L83" s="412"/>
      <c r="M83" s="490" t="s">
        <v>813</v>
      </c>
      <c r="N83" s="403">
        <f>N77/2</f>
        <v>548</v>
      </c>
    </row>
    <row r="84" spans="1:14" ht="101.25" hidden="1" outlineLevel="2">
      <c r="A84" s="490"/>
      <c r="B84" s="490" t="s">
        <v>237</v>
      </c>
      <c r="C84" s="398" t="s">
        <v>808</v>
      </c>
      <c r="D84" s="399" t="s">
        <v>391</v>
      </c>
      <c r="E84" s="385"/>
      <c r="F84" s="385"/>
      <c r="G84" s="385"/>
      <c r="H84" s="401" t="s">
        <v>3838</v>
      </c>
      <c r="I84" s="385" t="s">
        <v>864</v>
      </c>
      <c r="J84" s="489"/>
      <c r="K84" s="412"/>
      <c r="L84" s="412"/>
      <c r="M84" s="490" t="s">
        <v>117</v>
      </c>
      <c r="N84" s="435">
        <v>0.13</v>
      </c>
    </row>
    <row r="85" spans="1:14" s="384" customFormat="1" ht="75.75" customHeight="1" outlineLevel="1" collapsed="1">
      <c r="A85" s="490" t="s">
        <v>1747</v>
      </c>
      <c r="B85" s="490" t="s">
        <v>237</v>
      </c>
      <c r="C85" s="398" t="s">
        <v>808</v>
      </c>
      <c r="D85" s="398" t="s">
        <v>391</v>
      </c>
      <c r="E85" s="490" t="s">
        <v>972</v>
      </c>
      <c r="F85" s="385" t="s">
        <v>1217</v>
      </c>
      <c r="G85" s="385" t="s">
        <v>1218</v>
      </c>
      <c r="H85" s="401" t="s">
        <v>973</v>
      </c>
      <c r="I85" s="385" t="str">
        <f>CONCATENATE(I86," ",N86,M86," ",I87," ",N87,M87," ",I88," ",N88,M88," ",I89," ",N89,M89," ",)</f>
        <v xml:space="preserve">ручная расчистка 2,73га обрезка крон деревьев 10шт механизированная расчистка 51,59га расширение просек 23,91га </v>
      </c>
      <c r="J85" s="385" t="s">
        <v>365</v>
      </c>
      <c r="K85" s="450">
        <v>44197</v>
      </c>
      <c r="L85" s="450">
        <v>44316</v>
      </c>
      <c r="M85" s="490"/>
      <c r="N85" s="490"/>
    </row>
    <row r="86" spans="1:14" hidden="1" outlineLevel="2">
      <c r="A86" s="490"/>
      <c r="B86" s="490" t="s">
        <v>237</v>
      </c>
      <c r="C86" s="398" t="s">
        <v>808</v>
      </c>
      <c r="D86" s="399" t="s">
        <v>391</v>
      </c>
      <c r="E86" s="385"/>
      <c r="F86" s="385"/>
      <c r="G86" s="396"/>
      <c r="H86" s="401" t="s">
        <v>1573</v>
      </c>
      <c r="I86" s="385" t="s">
        <v>864</v>
      </c>
      <c r="J86" s="489"/>
      <c r="K86" s="412"/>
      <c r="L86" s="412"/>
      <c r="M86" s="490" t="s">
        <v>117</v>
      </c>
      <c r="N86" s="490">
        <v>2.73</v>
      </c>
    </row>
    <row r="87" spans="1:14" hidden="1" outlineLevel="2">
      <c r="A87" s="490"/>
      <c r="B87" s="490" t="s">
        <v>237</v>
      </c>
      <c r="C87" s="398" t="s">
        <v>808</v>
      </c>
      <c r="D87" s="399" t="s">
        <v>391</v>
      </c>
      <c r="E87" s="385"/>
      <c r="F87" s="385"/>
      <c r="G87" s="385"/>
      <c r="H87" s="401" t="s">
        <v>1573</v>
      </c>
      <c r="I87" s="385" t="s">
        <v>840</v>
      </c>
      <c r="J87" s="489"/>
      <c r="K87" s="412"/>
      <c r="L87" s="412"/>
      <c r="M87" s="490" t="s">
        <v>813</v>
      </c>
      <c r="N87" s="403">
        <v>10</v>
      </c>
    </row>
    <row r="88" spans="1:14" hidden="1" outlineLevel="2">
      <c r="A88" s="490"/>
      <c r="B88" s="490" t="s">
        <v>237</v>
      </c>
      <c r="C88" s="398" t="s">
        <v>808</v>
      </c>
      <c r="D88" s="399" t="s">
        <v>391</v>
      </c>
      <c r="E88" s="385"/>
      <c r="F88" s="385"/>
      <c r="G88" s="385"/>
      <c r="H88" s="401" t="s">
        <v>1573</v>
      </c>
      <c r="I88" s="385" t="s">
        <v>974</v>
      </c>
      <c r="J88" s="489"/>
      <c r="K88" s="412"/>
      <c r="L88" s="412"/>
      <c r="M88" s="490" t="s">
        <v>117</v>
      </c>
      <c r="N88" s="435">
        <v>51.59</v>
      </c>
    </row>
    <row r="89" spans="1:14" hidden="1" outlineLevel="2">
      <c r="A89" s="490"/>
      <c r="B89" s="490" t="s">
        <v>237</v>
      </c>
      <c r="C89" s="398" t="s">
        <v>808</v>
      </c>
      <c r="D89" s="399" t="s">
        <v>391</v>
      </c>
      <c r="E89" s="385"/>
      <c r="F89" s="385"/>
      <c r="G89" s="385"/>
      <c r="H89" s="401" t="s">
        <v>1728</v>
      </c>
      <c r="I89" s="385" t="s">
        <v>1726</v>
      </c>
      <c r="J89" s="489"/>
      <c r="K89" s="412"/>
      <c r="L89" s="412"/>
      <c r="M89" s="490" t="s">
        <v>117</v>
      </c>
      <c r="N89" s="404">
        <v>23.91</v>
      </c>
    </row>
    <row r="90" spans="1:14" ht="101.25" hidden="1" outlineLevel="2">
      <c r="A90" s="490"/>
      <c r="B90" s="490" t="s">
        <v>237</v>
      </c>
      <c r="C90" s="398" t="s">
        <v>808</v>
      </c>
      <c r="D90" s="399" t="s">
        <v>391</v>
      </c>
      <c r="E90" s="385"/>
      <c r="F90" s="385"/>
      <c r="G90" s="396"/>
      <c r="H90" s="401" t="s">
        <v>3839</v>
      </c>
      <c r="I90" s="385" t="s">
        <v>864</v>
      </c>
      <c r="J90" s="489"/>
      <c r="K90" s="412"/>
      <c r="L90" s="412"/>
      <c r="M90" s="490" t="s">
        <v>117</v>
      </c>
      <c r="N90" s="490">
        <v>1.36</v>
      </c>
    </row>
    <row r="91" spans="1:14" hidden="1" outlineLevel="2">
      <c r="A91" s="490"/>
      <c r="B91" s="490" t="s">
        <v>237</v>
      </c>
      <c r="C91" s="398" t="s">
        <v>808</v>
      </c>
      <c r="D91" s="399" t="s">
        <v>391</v>
      </c>
      <c r="E91" s="385"/>
      <c r="F91" s="385"/>
      <c r="G91" s="385"/>
      <c r="H91" s="401" t="s">
        <v>3840</v>
      </c>
      <c r="I91" s="385" t="s">
        <v>840</v>
      </c>
      <c r="J91" s="489"/>
      <c r="K91" s="412"/>
      <c r="L91" s="412"/>
      <c r="M91" s="490" t="s">
        <v>813</v>
      </c>
      <c r="N91" s="403">
        <v>5</v>
      </c>
    </row>
    <row r="92" spans="1:14" ht="109.5" hidden="1" customHeight="1" outlineLevel="2">
      <c r="A92" s="490"/>
      <c r="B92" s="490" t="s">
        <v>237</v>
      </c>
      <c r="C92" s="398" t="s">
        <v>808</v>
      </c>
      <c r="D92" s="399" t="s">
        <v>391</v>
      </c>
      <c r="E92" s="385"/>
      <c r="F92" s="385"/>
      <c r="G92" s="385"/>
      <c r="H92" s="401" t="s">
        <v>3841</v>
      </c>
      <c r="I92" s="385" t="s">
        <v>974</v>
      </c>
      <c r="J92" s="489"/>
      <c r="K92" s="412"/>
      <c r="L92" s="412"/>
      <c r="M92" s="490" t="s">
        <v>117</v>
      </c>
      <c r="N92" s="435">
        <v>25.8</v>
      </c>
    </row>
    <row r="93" spans="1:14" ht="141.75" hidden="1" outlineLevel="2">
      <c r="A93" s="490"/>
      <c r="B93" s="490" t="s">
        <v>237</v>
      </c>
      <c r="C93" s="398" t="s">
        <v>808</v>
      </c>
      <c r="D93" s="399" t="s">
        <v>391</v>
      </c>
      <c r="E93" s="385"/>
      <c r="F93" s="385"/>
      <c r="G93" s="385"/>
      <c r="H93" s="401" t="s">
        <v>3842</v>
      </c>
      <c r="I93" s="385" t="s">
        <v>1726</v>
      </c>
      <c r="J93" s="489"/>
      <c r="K93" s="412"/>
      <c r="L93" s="412"/>
      <c r="M93" s="490" t="s">
        <v>117</v>
      </c>
      <c r="N93" s="404">
        <v>11.96</v>
      </c>
    </row>
    <row r="94" spans="1:14" ht="101.25" hidden="1" outlineLevel="2">
      <c r="A94" s="490"/>
      <c r="B94" s="490" t="s">
        <v>237</v>
      </c>
      <c r="C94" s="398" t="s">
        <v>808</v>
      </c>
      <c r="D94" s="399" t="s">
        <v>391</v>
      </c>
      <c r="E94" s="385"/>
      <c r="F94" s="385"/>
      <c r="G94" s="396"/>
      <c r="H94" s="401" t="s">
        <v>3843</v>
      </c>
      <c r="I94" s="385" t="s">
        <v>864</v>
      </c>
      <c r="J94" s="489"/>
      <c r="K94" s="412"/>
      <c r="L94" s="412"/>
      <c r="M94" s="490" t="s">
        <v>117</v>
      </c>
      <c r="N94" s="490">
        <v>1.37</v>
      </c>
    </row>
    <row r="95" spans="1:14" hidden="1" outlineLevel="2">
      <c r="A95" s="490"/>
      <c r="B95" s="490" t="s">
        <v>237</v>
      </c>
      <c r="C95" s="398" t="s">
        <v>808</v>
      </c>
      <c r="D95" s="399" t="s">
        <v>391</v>
      </c>
      <c r="E95" s="385"/>
      <c r="F95" s="385"/>
      <c r="G95" s="385"/>
      <c r="H95" s="401" t="s">
        <v>3844</v>
      </c>
      <c r="I95" s="385" t="s">
        <v>840</v>
      </c>
      <c r="J95" s="489"/>
      <c r="K95" s="412"/>
      <c r="L95" s="412"/>
      <c r="M95" s="490" t="s">
        <v>813</v>
      </c>
      <c r="N95" s="403">
        <v>5</v>
      </c>
    </row>
    <row r="96" spans="1:14" ht="121.5" hidden="1" outlineLevel="2">
      <c r="A96" s="490"/>
      <c r="B96" s="490" t="s">
        <v>237</v>
      </c>
      <c r="C96" s="398" t="s">
        <v>808</v>
      </c>
      <c r="D96" s="399" t="s">
        <v>391</v>
      </c>
      <c r="E96" s="385"/>
      <c r="F96" s="385"/>
      <c r="G96" s="385"/>
      <c r="H96" s="401" t="s">
        <v>3845</v>
      </c>
      <c r="I96" s="385" t="s">
        <v>974</v>
      </c>
      <c r="J96" s="489"/>
      <c r="K96" s="412"/>
      <c r="L96" s="412"/>
      <c r="M96" s="490" t="s">
        <v>117</v>
      </c>
      <c r="N96" s="435">
        <v>25.79</v>
      </c>
    </row>
    <row r="97" spans="1:14" ht="141.75" hidden="1" outlineLevel="2">
      <c r="A97" s="490"/>
      <c r="B97" s="490" t="s">
        <v>237</v>
      </c>
      <c r="C97" s="398" t="s">
        <v>808</v>
      </c>
      <c r="D97" s="399" t="s">
        <v>391</v>
      </c>
      <c r="E97" s="385"/>
      <c r="F97" s="385"/>
      <c r="G97" s="385"/>
      <c r="H97" s="401" t="s">
        <v>3846</v>
      </c>
      <c r="I97" s="385" t="s">
        <v>1726</v>
      </c>
      <c r="J97" s="489"/>
      <c r="K97" s="412"/>
      <c r="L97" s="412"/>
      <c r="M97" s="490" t="s">
        <v>117</v>
      </c>
      <c r="N97" s="404">
        <v>11.95</v>
      </c>
    </row>
    <row r="98" spans="1:14" s="384" customFormat="1" ht="66.75" customHeight="1" outlineLevel="1" collapsed="1">
      <c r="A98" s="490" t="s">
        <v>1748</v>
      </c>
      <c r="B98" s="490" t="s">
        <v>237</v>
      </c>
      <c r="C98" s="398" t="s">
        <v>808</v>
      </c>
      <c r="D98" s="398" t="s">
        <v>391</v>
      </c>
      <c r="E98" s="490" t="s">
        <v>975</v>
      </c>
      <c r="F98" s="385" t="s">
        <v>1217</v>
      </c>
      <c r="G98" s="385" t="s">
        <v>1218</v>
      </c>
      <c r="H98" s="401" t="s">
        <v>3358</v>
      </c>
      <c r="I98" s="385" t="str">
        <f>CONCATENATE(I99," ",N99,M99," ",I100," ",N100,M100,"")</f>
        <v>механизированная расчистка 0,81га расширение просек 43,87га</v>
      </c>
      <c r="J98" s="385" t="s">
        <v>365</v>
      </c>
      <c r="K98" s="450">
        <v>44197</v>
      </c>
      <c r="L98" s="450">
        <v>44561</v>
      </c>
      <c r="M98" s="490"/>
      <c r="N98" s="490"/>
    </row>
    <row r="99" spans="1:14" ht="33.75" hidden="1" customHeight="1" outlineLevel="2">
      <c r="A99" s="490"/>
      <c r="B99" s="490" t="s">
        <v>237</v>
      </c>
      <c r="C99" s="398" t="s">
        <v>808</v>
      </c>
      <c r="D99" s="399" t="s">
        <v>391</v>
      </c>
      <c r="E99" s="385"/>
      <c r="F99" s="385"/>
      <c r="G99" s="396"/>
      <c r="H99" s="401" t="s">
        <v>976</v>
      </c>
      <c r="I99" s="385" t="s">
        <v>974</v>
      </c>
      <c r="J99" s="489"/>
      <c r="K99" s="412"/>
      <c r="L99" s="412"/>
      <c r="M99" s="490" t="s">
        <v>117</v>
      </c>
      <c r="N99" s="490">
        <v>0.81</v>
      </c>
    </row>
    <row r="100" spans="1:14" ht="408.75" hidden="1" customHeight="1" outlineLevel="2">
      <c r="A100" s="490"/>
      <c r="B100" s="490" t="s">
        <v>237</v>
      </c>
      <c r="C100" s="398" t="s">
        <v>808</v>
      </c>
      <c r="D100" s="399" t="s">
        <v>391</v>
      </c>
      <c r="E100" s="385"/>
      <c r="F100" s="385"/>
      <c r="G100" s="385"/>
      <c r="H100" s="401" t="s">
        <v>1729</v>
      </c>
      <c r="I100" s="385" t="s">
        <v>1726</v>
      </c>
      <c r="J100" s="489"/>
      <c r="K100" s="412"/>
      <c r="L100" s="412"/>
      <c r="M100" s="490" t="s">
        <v>117</v>
      </c>
      <c r="N100" s="438">
        <v>43.87</v>
      </c>
    </row>
    <row r="101" spans="1:14" s="384" customFormat="1" ht="40.5" outlineLevel="1" collapsed="1">
      <c r="A101" s="490" t="s">
        <v>1255</v>
      </c>
      <c r="B101" s="490" t="s">
        <v>237</v>
      </c>
      <c r="C101" s="398" t="s">
        <v>808</v>
      </c>
      <c r="D101" s="398" t="s">
        <v>391</v>
      </c>
      <c r="E101" s="490" t="s">
        <v>978</v>
      </c>
      <c r="F101" s="385" t="s">
        <v>1211</v>
      </c>
      <c r="G101" s="385" t="s">
        <v>1212</v>
      </c>
      <c r="H101" s="401" t="s">
        <v>1578</v>
      </c>
      <c r="I101" s="385" t="str">
        <f>CONCATENATE(I104," ",N104,M104," ",I103," ",N103,M103," ",I102," ",N102,M102," ",)</f>
        <v xml:space="preserve">расширение просек 35,78га ручная расчистка 2,9га механизированная расчистка 41,57га </v>
      </c>
      <c r="J101" s="385" t="s">
        <v>365</v>
      </c>
      <c r="K101" s="450">
        <v>44197</v>
      </c>
      <c r="L101" s="450">
        <v>44561</v>
      </c>
      <c r="M101" s="490"/>
      <c r="N101" s="490"/>
    </row>
    <row r="102" spans="1:14" ht="40.5" hidden="1" outlineLevel="2">
      <c r="A102" s="490"/>
      <c r="B102" s="490" t="s">
        <v>237</v>
      </c>
      <c r="C102" s="398" t="s">
        <v>808</v>
      </c>
      <c r="D102" s="399" t="s">
        <v>391</v>
      </c>
      <c r="E102" s="385"/>
      <c r="F102" s="385"/>
      <c r="G102" s="396"/>
      <c r="H102" s="401" t="s">
        <v>3778</v>
      </c>
      <c r="I102" s="385" t="s">
        <v>974</v>
      </c>
      <c r="J102" s="489"/>
      <c r="K102" s="412"/>
      <c r="L102" s="412"/>
      <c r="M102" s="490" t="s">
        <v>117</v>
      </c>
      <c r="N102" s="490">
        <v>41.57</v>
      </c>
    </row>
    <row r="103" spans="1:14" ht="263.25" hidden="1" outlineLevel="2">
      <c r="A103" s="490"/>
      <c r="B103" s="490"/>
      <c r="C103" s="398"/>
      <c r="D103" s="399"/>
      <c r="E103" s="385"/>
      <c r="F103" s="385"/>
      <c r="G103" s="396"/>
      <c r="H103" s="401" t="s">
        <v>1743</v>
      </c>
      <c r="I103" s="385" t="s">
        <v>864</v>
      </c>
      <c r="J103" s="489"/>
      <c r="K103" s="412"/>
      <c r="L103" s="412"/>
      <c r="M103" s="490" t="s">
        <v>117</v>
      </c>
      <c r="N103" s="490">
        <v>2.9</v>
      </c>
    </row>
    <row r="104" spans="1:14" ht="308.25" hidden="1" customHeight="1" outlineLevel="2">
      <c r="A104" s="490"/>
      <c r="B104" s="490" t="s">
        <v>237</v>
      </c>
      <c r="C104" s="398" t="s">
        <v>808</v>
      </c>
      <c r="D104" s="399" t="s">
        <v>391</v>
      </c>
      <c r="E104" s="385"/>
      <c r="F104" s="385"/>
      <c r="G104" s="385"/>
      <c r="H104" s="401" t="s">
        <v>1738</v>
      </c>
      <c r="I104" s="385" t="s">
        <v>1726</v>
      </c>
      <c r="J104" s="489"/>
      <c r="K104" s="412"/>
      <c r="L104" s="412"/>
      <c r="M104" s="490" t="s">
        <v>117</v>
      </c>
      <c r="N104" s="404">
        <v>35.78</v>
      </c>
    </row>
    <row r="105" spans="1:14" s="384" customFormat="1" ht="40.5" outlineLevel="1" collapsed="1">
      <c r="A105" s="490" t="s">
        <v>1749</v>
      </c>
      <c r="B105" s="490" t="s">
        <v>237</v>
      </c>
      <c r="C105" s="398" t="s">
        <v>808</v>
      </c>
      <c r="D105" s="398" t="s">
        <v>391</v>
      </c>
      <c r="E105" s="385" t="s">
        <v>3697</v>
      </c>
      <c r="F105" s="385" t="s">
        <v>1211</v>
      </c>
      <c r="G105" s="385" t="s">
        <v>1212</v>
      </c>
      <c r="H105" s="401" t="s">
        <v>1579</v>
      </c>
      <c r="I105" s="385" t="str">
        <f>CONCATENATE(I106," ",N106,M106," ",I107," ",N107,M107,"")</f>
        <v>ручная расчистка 2,76га обрезка крон деревьев 171шт</v>
      </c>
      <c r="J105" s="385" t="s">
        <v>365</v>
      </c>
      <c r="K105" s="450">
        <v>44197</v>
      </c>
      <c r="L105" s="450">
        <v>44316</v>
      </c>
      <c r="M105" s="490"/>
      <c r="N105" s="490"/>
    </row>
    <row r="106" spans="1:14" hidden="1" outlineLevel="2">
      <c r="A106" s="490"/>
      <c r="B106" s="490" t="s">
        <v>237</v>
      </c>
      <c r="C106" s="398" t="s">
        <v>808</v>
      </c>
      <c r="D106" s="399" t="s">
        <v>391</v>
      </c>
      <c r="E106" s="385"/>
      <c r="F106" s="385"/>
      <c r="G106" s="396"/>
      <c r="H106" s="401" t="s">
        <v>1504</v>
      </c>
      <c r="I106" s="385" t="s">
        <v>864</v>
      </c>
      <c r="J106" s="489"/>
      <c r="K106" s="412"/>
      <c r="L106" s="412"/>
      <c r="M106" s="490" t="s">
        <v>117</v>
      </c>
      <c r="N106" s="490">
        <v>2.76</v>
      </c>
    </row>
    <row r="107" spans="1:14" hidden="1" outlineLevel="2">
      <c r="A107" s="490"/>
      <c r="B107" s="490" t="s">
        <v>237</v>
      </c>
      <c r="C107" s="398" t="s">
        <v>808</v>
      </c>
      <c r="D107" s="399" t="s">
        <v>391</v>
      </c>
      <c r="E107" s="385"/>
      <c r="F107" s="385"/>
      <c r="G107" s="385"/>
      <c r="H107" s="401" t="s">
        <v>1505</v>
      </c>
      <c r="I107" s="385" t="s">
        <v>840</v>
      </c>
      <c r="J107" s="489"/>
      <c r="K107" s="412"/>
      <c r="L107" s="412"/>
      <c r="M107" s="490" t="s">
        <v>813</v>
      </c>
      <c r="N107" s="403">
        <v>171</v>
      </c>
    </row>
    <row r="108" spans="1:14" ht="101.25" hidden="1" outlineLevel="2">
      <c r="A108" s="490"/>
      <c r="B108" s="490" t="s">
        <v>237</v>
      </c>
      <c r="C108" s="398" t="s">
        <v>808</v>
      </c>
      <c r="D108" s="399" t="s">
        <v>391</v>
      </c>
      <c r="E108" s="385"/>
      <c r="F108" s="385"/>
      <c r="G108" s="396"/>
      <c r="H108" s="401" t="s">
        <v>3847</v>
      </c>
      <c r="I108" s="385" t="s">
        <v>864</v>
      </c>
      <c r="J108" s="489"/>
      <c r="K108" s="412"/>
      <c r="L108" s="412"/>
      <c r="M108" s="490" t="s">
        <v>117</v>
      </c>
      <c r="N108" s="490">
        <v>1.38</v>
      </c>
    </row>
    <row r="109" spans="1:14" ht="40.5" hidden="1" outlineLevel="2">
      <c r="A109" s="490"/>
      <c r="B109" s="490" t="s">
        <v>237</v>
      </c>
      <c r="C109" s="398" t="s">
        <v>808</v>
      </c>
      <c r="D109" s="399" t="s">
        <v>391</v>
      </c>
      <c r="E109" s="385"/>
      <c r="F109" s="385"/>
      <c r="G109" s="385"/>
      <c r="H109" s="401" t="s">
        <v>3848</v>
      </c>
      <c r="I109" s="385" t="s">
        <v>840</v>
      </c>
      <c r="J109" s="489"/>
      <c r="K109" s="412"/>
      <c r="L109" s="412"/>
      <c r="M109" s="490" t="s">
        <v>813</v>
      </c>
      <c r="N109" s="403">
        <v>85.5</v>
      </c>
    </row>
    <row r="110" spans="1:14" ht="101.25" hidden="1" outlineLevel="2">
      <c r="A110" s="490"/>
      <c r="B110" s="490" t="s">
        <v>237</v>
      </c>
      <c r="C110" s="398" t="s">
        <v>808</v>
      </c>
      <c r="D110" s="399" t="s">
        <v>391</v>
      </c>
      <c r="E110" s="385"/>
      <c r="F110" s="385"/>
      <c r="G110" s="396"/>
      <c r="H110" s="401" t="s">
        <v>3849</v>
      </c>
      <c r="I110" s="385" t="s">
        <v>864</v>
      </c>
      <c r="J110" s="489"/>
      <c r="K110" s="412"/>
      <c r="L110" s="412"/>
      <c r="M110" s="490" t="s">
        <v>117</v>
      </c>
      <c r="N110" s="490">
        <v>1.38</v>
      </c>
    </row>
    <row r="111" spans="1:14" ht="40.5" hidden="1" outlineLevel="2">
      <c r="A111" s="490"/>
      <c r="B111" s="490" t="s">
        <v>237</v>
      </c>
      <c r="C111" s="398" t="s">
        <v>808</v>
      </c>
      <c r="D111" s="399" t="s">
        <v>391</v>
      </c>
      <c r="E111" s="385"/>
      <c r="F111" s="385"/>
      <c r="G111" s="385"/>
      <c r="H111" s="401" t="s">
        <v>3850</v>
      </c>
      <c r="I111" s="385" t="s">
        <v>840</v>
      </c>
      <c r="J111" s="489"/>
      <c r="K111" s="412"/>
      <c r="L111" s="412"/>
      <c r="M111" s="490" t="s">
        <v>813</v>
      </c>
      <c r="N111" s="403">
        <v>85.5</v>
      </c>
    </row>
    <row r="112" spans="1:14" s="384" customFormat="1" ht="40.5" outlineLevel="1" collapsed="1">
      <c r="A112" s="490" t="s">
        <v>1500</v>
      </c>
      <c r="B112" s="490" t="s">
        <v>237</v>
      </c>
      <c r="C112" s="398" t="s">
        <v>808</v>
      </c>
      <c r="D112" s="398" t="s">
        <v>391</v>
      </c>
      <c r="E112" s="490" t="s">
        <v>1611</v>
      </c>
      <c r="F112" s="385" t="s">
        <v>1211</v>
      </c>
      <c r="G112" s="385" t="s">
        <v>1212</v>
      </c>
      <c r="H112" s="401" t="s">
        <v>3359</v>
      </c>
      <c r="I112" s="385" t="str">
        <f>CONCATENATE(I115," ",N115,M115," ",I114," ",N114,M114," ",I113," ",N113,M113," ",)</f>
        <v xml:space="preserve">ручная расчистка 1,29га механизированная расчистка 13,06га расширение просек 9,39га </v>
      </c>
      <c r="J112" s="385" t="s">
        <v>365</v>
      </c>
      <c r="K112" s="450">
        <v>44197</v>
      </c>
      <c r="L112" s="450">
        <v>44561</v>
      </c>
      <c r="M112" s="490"/>
      <c r="N112" s="490"/>
    </row>
    <row r="113" spans="1:130" ht="60.75" hidden="1" outlineLevel="2">
      <c r="A113" s="490"/>
      <c r="B113" s="490" t="s">
        <v>237</v>
      </c>
      <c r="C113" s="398" t="s">
        <v>808</v>
      </c>
      <c r="D113" s="399" t="s">
        <v>391</v>
      </c>
      <c r="E113" s="385"/>
      <c r="F113" s="385"/>
      <c r="G113" s="396"/>
      <c r="H113" s="401" t="s">
        <v>3698</v>
      </c>
      <c r="I113" s="385" t="s">
        <v>1726</v>
      </c>
      <c r="J113" s="489"/>
      <c r="K113" s="412"/>
      <c r="L113" s="412"/>
      <c r="M113" s="490" t="s">
        <v>117</v>
      </c>
      <c r="N113" s="490">
        <v>9.39</v>
      </c>
    </row>
    <row r="114" spans="1:130" ht="81" hidden="1" outlineLevel="2">
      <c r="A114" s="490"/>
      <c r="B114" s="490" t="s">
        <v>237</v>
      </c>
      <c r="C114" s="398" t="s">
        <v>808</v>
      </c>
      <c r="D114" s="399" t="s">
        <v>391</v>
      </c>
      <c r="E114" s="385"/>
      <c r="F114" s="385"/>
      <c r="G114" s="385"/>
      <c r="H114" s="401" t="s">
        <v>3779</v>
      </c>
      <c r="I114" s="385" t="s">
        <v>974</v>
      </c>
      <c r="J114" s="489"/>
      <c r="K114" s="412"/>
      <c r="L114" s="412"/>
      <c r="M114" s="490" t="s">
        <v>117</v>
      </c>
      <c r="N114" s="404">
        <f>22.45-9.39</f>
        <v>13.059999999999999</v>
      </c>
    </row>
    <row r="115" spans="1:130" ht="40.5" hidden="1" outlineLevel="2">
      <c r="A115" s="490"/>
      <c r="B115" s="490" t="s">
        <v>237</v>
      </c>
      <c r="C115" s="398" t="s">
        <v>808</v>
      </c>
      <c r="D115" s="399" t="s">
        <v>391</v>
      </c>
      <c r="E115" s="385"/>
      <c r="F115" s="385"/>
      <c r="G115" s="396"/>
      <c r="H115" s="401" t="s">
        <v>1612</v>
      </c>
      <c r="I115" s="385" t="s">
        <v>864</v>
      </c>
      <c r="J115" s="489"/>
      <c r="K115" s="412"/>
      <c r="L115" s="412"/>
      <c r="M115" s="490" t="s">
        <v>117</v>
      </c>
      <c r="N115" s="490">
        <v>1.29</v>
      </c>
    </row>
    <row r="116" spans="1:130" s="384" customFormat="1" ht="60.75" outlineLevel="1" collapsed="1">
      <c r="A116" s="490" t="s">
        <v>1613</v>
      </c>
      <c r="B116" s="490" t="s">
        <v>237</v>
      </c>
      <c r="C116" s="398" t="s">
        <v>808</v>
      </c>
      <c r="D116" s="398" t="s">
        <v>391</v>
      </c>
      <c r="E116" s="490" t="s">
        <v>818</v>
      </c>
      <c r="F116" s="385" t="s">
        <v>1211</v>
      </c>
      <c r="G116" s="385" t="s">
        <v>1212</v>
      </c>
      <c r="H116" s="401" t="s">
        <v>3360</v>
      </c>
      <c r="I116" s="385" t="str">
        <f>CONCATENATE(I117," ",N117,M117," ",I118," ",N118,M118," ",I119," ",N119,M119," ",I120," ",N120,M120," ",)</f>
        <v xml:space="preserve">механизированная расчистка 23,93га обрезка крон деревьев 6шт расширение просек 34,47га ручная расчистка 0,05га </v>
      </c>
      <c r="J116" s="385" t="s">
        <v>365</v>
      </c>
      <c r="K116" s="450">
        <v>44197</v>
      </c>
      <c r="L116" s="450">
        <v>44561</v>
      </c>
      <c r="M116" s="490"/>
      <c r="N116" s="490"/>
    </row>
    <row r="117" spans="1:130" ht="60.75" hidden="1" outlineLevel="2">
      <c r="A117" s="490"/>
      <c r="B117" s="490" t="s">
        <v>237</v>
      </c>
      <c r="C117" s="398" t="s">
        <v>808</v>
      </c>
      <c r="D117" s="399" t="s">
        <v>391</v>
      </c>
      <c r="E117" s="385"/>
      <c r="F117" s="385"/>
      <c r="G117" s="396"/>
      <c r="H117" s="401" t="s">
        <v>3780</v>
      </c>
      <c r="I117" s="385" t="s">
        <v>974</v>
      </c>
      <c r="J117" s="489"/>
      <c r="K117" s="412"/>
      <c r="L117" s="412"/>
      <c r="M117" s="490" t="s">
        <v>117</v>
      </c>
      <c r="N117" s="490">
        <v>23.93</v>
      </c>
    </row>
    <row r="118" spans="1:130" hidden="1" outlineLevel="2">
      <c r="A118" s="490"/>
      <c r="B118" s="490" t="s">
        <v>237</v>
      </c>
      <c r="C118" s="398" t="s">
        <v>808</v>
      </c>
      <c r="D118" s="399" t="s">
        <v>391</v>
      </c>
      <c r="E118" s="385"/>
      <c r="F118" s="385"/>
      <c r="G118" s="385"/>
      <c r="H118" s="401" t="s">
        <v>1615</v>
      </c>
      <c r="I118" s="385" t="s">
        <v>840</v>
      </c>
      <c r="J118" s="489"/>
      <c r="K118" s="412"/>
      <c r="L118" s="412"/>
      <c r="M118" s="490" t="s">
        <v>813</v>
      </c>
      <c r="N118" s="403">
        <v>6</v>
      </c>
    </row>
    <row r="119" spans="1:130" ht="125.25" hidden="1" customHeight="1" outlineLevel="2">
      <c r="A119" s="490"/>
      <c r="B119" s="490" t="s">
        <v>237</v>
      </c>
      <c r="C119" s="398" t="s">
        <v>808</v>
      </c>
      <c r="D119" s="399" t="s">
        <v>391</v>
      </c>
      <c r="E119" s="385"/>
      <c r="F119" s="385"/>
      <c r="G119" s="396"/>
      <c r="H119" s="401" t="s">
        <v>1737</v>
      </c>
      <c r="I119" s="385" t="s">
        <v>1726</v>
      </c>
      <c r="J119" s="489"/>
      <c r="K119" s="412"/>
      <c r="L119" s="412"/>
      <c r="M119" s="490" t="s">
        <v>117</v>
      </c>
      <c r="N119" s="490">
        <v>34.47</v>
      </c>
    </row>
    <row r="120" spans="1:130" ht="40.5" hidden="1" outlineLevel="2">
      <c r="A120" s="490"/>
      <c r="B120" s="490"/>
      <c r="C120" s="398"/>
      <c r="D120" s="399"/>
      <c r="E120" s="385"/>
      <c r="F120" s="385"/>
      <c r="G120" s="385"/>
      <c r="H120" s="401" t="s">
        <v>1616</v>
      </c>
      <c r="I120" s="385" t="s">
        <v>864</v>
      </c>
      <c r="J120" s="489"/>
      <c r="K120" s="412"/>
      <c r="L120" s="412"/>
      <c r="M120" s="490" t="s">
        <v>117</v>
      </c>
      <c r="N120" s="490">
        <v>0.05</v>
      </c>
    </row>
    <row r="121" spans="1:130" s="393" customFormat="1">
      <c r="A121" s="403" t="s">
        <v>325</v>
      </c>
      <c r="B121" s="403"/>
      <c r="C121" s="403"/>
      <c r="D121" s="403"/>
      <c r="E121" s="490"/>
      <c r="F121" s="385"/>
      <c r="G121" s="385"/>
      <c r="H121" s="539" t="s">
        <v>319</v>
      </c>
      <c r="I121" s="385"/>
      <c r="J121" s="489"/>
      <c r="K121" s="412"/>
      <c r="L121" s="412"/>
      <c r="M121" s="389"/>
      <c r="N121" s="389"/>
      <c r="O121" s="377"/>
      <c r="P121" s="377"/>
      <c r="Q121" s="377"/>
      <c r="R121" s="377"/>
      <c r="S121" s="377"/>
      <c r="T121" s="377"/>
      <c r="U121" s="377"/>
      <c r="V121" s="377"/>
      <c r="W121" s="377"/>
      <c r="X121" s="377"/>
      <c r="Y121" s="377"/>
      <c r="Z121" s="377"/>
      <c r="AA121" s="377"/>
      <c r="AB121" s="377"/>
      <c r="AC121" s="377"/>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7"/>
      <c r="AY121" s="377"/>
      <c r="AZ121" s="377"/>
      <c r="BA121" s="377"/>
      <c r="BB121" s="377"/>
      <c r="BC121" s="377"/>
      <c r="BD121" s="377"/>
      <c r="BE121" s="377"/>
      <c r="BF121" s="377"/>
      <c r="BG121" s="377"/>
      <c r="BH121" s="377"/>
      <c r="BI121" s="377"/>
      <c r="BJ121" s="377"/>
      <c r="BK121" s="377"/>
      <c r="BL121" s="377"/>
      <c r="BM121" s="377"/>
      <c r="BN121" s="377"/>
      <c r="BO121" s="377"/>
      <c r="BP121" s="377"/>
      <c r="BQ121" s="377"/>
      <c r="BR121" s="377"/>
      <c r="BS121" s="377"/>
      <c r="BT121" s="377"/>
      <c r="BU121" s="377"/>
      <c r="BV121" s="377"/>
      <c r="BW121" s="377"/>
      <c r="BX121" s="377"/>
      <c r="BY121" s="377"/>
      <c r="BZ121" s="377"/>
      <c r="CA121" s="377"/>
      <c r="CB121" s="377"/>
      <c r="CC121" s="377"/>
      <c r="CD121" s="377"/>
      <c r="CE121" s="377"/>
      <c r="CF121" s="377"/>
      <c r="CG121" s="377"/>
      <c r="CH121" s="377"/>
      <c r="CI121" s="377"/>
      <c r="CJ121" s="377"/>
      <c r="CK121" s="377"/>
      <c r="CL121" s="377"/>
      <c r="CM121" s="377"/>
      <c r="CN121" s="377"/>
      <c r="CO121" s="377"/>
      <c r="CP121" s="377"/>
      <c r="CQ121" s="377"/>
      <c r="CR121" s="377"/>
      <c r="CS121" s="377"/>
      <c r="CT121" s="377"/>
      <c r="CU121" s="377"/>
      <c r="CV121" s="377"/>
      <c r="CW121" s="377"/>
      <c r="CX121" s="377"/>
      <c r="CY121" s="377"/>
      <c r="CZ121" s="377"/>
      <c r="DA121" s="377"/>
      <c r="DB121" s="377"/>
      <c r="DC121" s="377"/>
      <c r="DD121" s="377"/>
      <c r="DE121" s="377"/>
      <c r="DF121" s="377"/>
      <c r="DG121" s="377"/>
      <c r="DH121" s="377"/>
      <c r="DI121" s="377"/>
      <c r="DJ121" s="377"/>
      <c r="DK121" s="377"/>
      <c r="DL121" s="377"/>
      <c r="DM121" s="377"/>
      <c r="DN121" s="377"/>
      <c r="DO121" s="377"/>
      <c r="DP121" s="377"/>
      <c r="DQ121" s="377"/>
      <c r="DR121" s="377"/>
      <c r="DS121" s="377"/>
      <c r="DT121" s="377"/>
      <c r="DU121" s="377"/>
      <c r="DV121" s="377"/>
      <c r="DW121" s="377"/>
      <c r="DX121" s="377"/>
      <c r="DY121" s="377"/>
      <c r="DZ121" s="377"/>
    </row>
    <row r="122" spans="1:130" s="407" customFormat="1" ht="81" customHeight="1" outlineLevel="1" collapsed="1">
      <c r="A122" s="489" t="s">
        <v>1256</v>
      </c>
      <c r="B122" s="490" t="s">
        <v>52</v>
      </c>
      <c r="C122" s="398" t="s">
        <v>408</v>
      </c>
      <c r="D122" s="399" t="s">
        <v>391</v>
      </c>
      <c r="E122" s="490" t="s">
        <v>422</v>
      </c>
      <c r="F122" s="385" t="s">
        <v>1211</v>
      </c>
      <c r="G122" s="385" t="s">
        <v>1212</v>
      </c>
      <c r="H122" s="401" t="s">
        <v>1580</v>
      </c>
      <c r="I122" s="385" t="str">
        <f>CONCATENATE(I123," ",N123,M123," ",I124," ",N124,M124,," ",I125," ",N125,M125)</f>
        <v>Ручная расчистка  0,01га Механизированная расчистка  9,42га Выправка опор 1шт.</v>
      </c>
      <c r="J122" s="385" t="s">
        <v>365</v>
      </c>
      <c r="K122" s="450">
        <v>44228</v>
      </c>
      <c r="L122" s="450">
        <v>44408</v>
      </c>
      <c r="M122" s="490"/>
      <c r="N122" s="490"/>
      <c r="O122" s="406"/>
      <c r="P122" s="406"/>
      <c r="Q122" s="406"/>
      <c r="R122" s="406"/>
      <c r="S122" s="406"/>
      <c r="T122" s="406"/>
      <c r="U122" s="406"/>
      <c r="V122" s="406"/>
      <c r="W122" s="406"/>
      <c r="X122" s="406"/>
      <c r="Y122" s="406"/>
      <c r="Z122" s="406"/>
      <c r="AA122" s="406"/>
      <c r="AB122" s="406"/>
      <c r="AC122" s="406"/>
      <c r="AD122" s="406"/>
      <c r="AE122" s="406"/>
      <c r="AF122" s="406"/>
      <c r="AG122" s="406"/>
      <c r="AH122" s="406"/>
      <c r="AI122" s="406"/>
      <c r="AJ122" s="406"/>
      <c r="AK122" s="406"/>
      <c r="AL122" s="406"/>
      <c r="AM122" s="406"/>
      <c r="AN122" s="406"/>
      <c r="AO122" s="406"/>
      <c r="AP122" s="406"/>
      <c r="AQ122" s="406"/>
      <c r="AR122" s="406"/>
      <c r="AS122" s="406"/>
      <c r="AT122" s="406"/>
      <c r="AU122" s="406"/>
      <c r="AV122" s="406"/>
      <c r="AW122" s="406"/>
      <c r="AX122" s="406"/>
      <c r="AY122" s="406"/>
      <c r="AZ122" s="406"/>
      <c r="BA122" s="406"/>
      <c r="BB122" s="406"/>
      <c r="BC122" s="406"/>
      <c r="BD122" s="406"/>
      <c r="BE122" s="406"/>
      <c r="BF122" s="406"/>
      <c r="BG122" s="406"/>
      <c r="BH122" s="406"/>
      <c r="BI122" s="406"/>
      <c r="BJ122" s="406"/>
      <c r="BK122" s="406"/>
      <c r="BL122" s="406"/>
      <c r="BM122" s="406"/>
      <c r="BN122" s="406"/>
      <c r="BO122" s="406"/>
      <c r="BP122" s="406"/>
      <c r="BQ122" s="406"/>
      <c r="BR122" s="406"/>
      <c r="BS122" s="406"/>
      <c r="BT122" s="406"/>
      <c r="BU122" s="406"/>
      <c r="BV122" s="406"/>
      <c r="BW122" s="406"/>
      <c r="BX122" s="406"/>
      <c r="BY122" s="406"/>
      <c r="BZ122" s="406"/>
      <c r="CA122" s="406"/>
      <c r="CB122" s="406"/>
      <c r="CC122" s="406"/>
      <c r="CD122" s="406"/>
      <c r="CE122" s="406"/>
      <c r="CF122" s="406"/>
      <c r="CG122" s="406"/>
      <c r="CH122" s="406"/>
      <c r="CI122" s="406"/>
      <c r="CJ122" s="406"/>
      <c r="CK122" s="406"/>
      <c r="CL122" s="406"/>
      <c r="CM122" s="406"/>
      <c r="CN122" s="406"/>
      <c r="CO122" s="406"/>
      <c r="CP122" s="406"/>
      <c r="CQ122" s="406"/>
      <c r="CR122" s="406"/>
      <c r="CS122" s="406"/>
      <c r="CT122" s="406"/>
      <c r="CU122" s="406"/>
      <c r="CV122" s="406"/>
      <c r="CW122" s="406"/>
      <c r="CX122" s="406"/>
      <c r="CY122" s="406"/>
      <c r="CZ122" s="406"/>
      <c r="DA122" s="406"/>
      <c r="DB122" s="406"/>
      <c r="DC122" s="406"/>
      <c r="DD122" s="406"/>
      <c r="DE122" s="406"/>
      <c r="DF122" s="406"/>
      <c r="DG122" s="406"/>
      <c r="DH122" s="406"/>
      <c r="DI122" s="406"/>
      <c r="DJ122" s="406"/>
      <c r="DK122" s="406"/>
      <c r="DL122" s="406"/>
      <c r="DM122" s="406"/>
      <c r="DN122" s="406"/>
      <c r="DO122" s="406"/>
      <c r="DP122" s="406"/>
      <c r="DQ122" s="406"/>
      <c r="DR122" s="406"/>
      <c r="DS122" s="406"/>
      <c r="DT122" s="406"/>
      <c r="DU122" s="406"/>
      <c r="DV122" s="406"/>
      <c r="DW122" s="406"/>
      <c r="DX122" s="406"/>
      <c r="DY122" s="406"/>
      <c r="DZ122" s="406"/>
    </row>
    <row r="123" spans="1:130" s="492" customFormat="1" ht="60.75" hidden="1" outlineLevel="2">
      <c r="A123" s="438"/>
      <c r="B123" s="438" t="s">
        <v>52</v>
      </c>
      <c r="C123" s="438" t="s">
        <v>408</v>
      </c>
      <c r="D123" s="408" t="s">
        <v>391</v>
      </c>
      <c r="E123" s="385"/>
      <c r="F123" s="385"/>
      <c r="G123" s="385" t="s">
        <v>427</v>
      </c>
      <c r="H123" s="401" t="s">
        <v>425</v>
      </c>
      <c r="I123" s="385" t="s">
        <v>409</v>
      </c>
      <c r="J123" s="489"/>
      <c r="K123" s="450">
        <v>44228</v>
      </c>
      <c r="L123" s="450">
        <v>44255</v>
      </c>
      <c r="M123" s="490" t="s">
        <v>117</v>
      </c>
      <c r="N123" s="404">
        <v>0.01</v>
      </c>
    </row>
    <row r="124" spans="1:130" s="492" customFormat="1" ht="101.25" hidden="1" outlineLevel="2">
      <c r="A124" s="438"/>
      <c r="B124" s="438" t="s">
        <v>52</v>
      </c>
      <c r="C124" s="438" t="s">
        <v>408</v>
      </c>
      <c r="D124" s="408" t="s">
        <v>391</v>
      </c>
      <c r="E124" s="385"/>
      <c r="F124" s="385"/>
      <c r="G124" s="430" t="s">
        <v>413</v>
      </c>
      <c r="H124" s="401" t="s">
        <v>426</v>
      </c>
      <c r="I124" s="385" t="s">
        <v>424</v>
      </c>
      <c r="J124" s="489"/>
      <c r="K124" s="450">
        <v>44228</v>
      </c>
      <c r="L124" s="450">
        <v>44255</v>
      </c>
      <c r="M124" s="490" t="s">
        <v>117</v>
      </c>
      <c r="N124" s="439">
        <v>9.42</v>
      </c>
    </row>
    <row r="125" spans="1:130" s="492" customFormat="1" hidden="1" outlineLevel="2">
      <c r="A125" s="438"/>
      <c r="B125" s="438" t="s">
        <v>52</v>
      </c>
      <c r="C125" s="438" t="s">
        <v>408</v>
      </c>
      <c r="D125" s="408" t="s">
        <v>391</v>
      </c>
      <c r="E125" s="385"/>
      <c r="F125" s="385"/>
      <c r="G125" s="385" t="s">
        <v>410</v>
      </c>
      <c r="H125" s="401" t="s">
        <v>423</v>
      </c>
      <c r="I125" s="385" t="s">
        <v>167</v>
      </c>
      <c r="J125" s="489"/>
      <c r="K125" s="450">
        <v>44378</v>
      </c>
      <c r="L125" s="450">
        <v>44408</v>
      </c>
      <c r="M125" s="490" t="s">
        <v>37</v>
      </c>
      <c r="N125" s="490">
        <v>1</v>
      </c>
    </row>
    <row r="126" spans="1:130" s="407" customFormat="1" ht="81" outlineLevel="1" collapsed="1">
      <c r="A126" s="489" t="s">
        <v>1257</v>
      </c>
      <c r="B126" s="490" t="s">
        <v>52</v>
      </c>
      <c r="C126" s="398" t="s">
        <v>808</v>
      </c>
      <c r="D126" s="398" t="s">
        <v>391</v>
      </c>
      <c r="E126" s="490" t="s">
        <v>822</v>
      </c>
      <c r="F126" s="385" t="s">
        <v>303</v>
      </c>
      <c r="G126" s="385"/>
      <c r="H126" s="401" t="s">
        <v>1581</v>
      </c>
      <c r="I126" s="385" t="str">
        <f>CONCATENATE(I127," ",N127,M127," ",I128," ",N128,M128," ",I129," ",N129,M129," ",I130,N130," ",M130," ",I131," ",N131,M131," ",)</f>
        <v xml:space="preserve">Замена поврежденных изоляторов 14шт Установка ремонтного зажима 2шт переустановка ГВН 2шт монтаж плашечного зажима на грозотросе1 шт перепление провода ВОЛС 1шт </v>
      </c>
      <c r="J126" s="385" t="s">
        <v>365</v>
      </c>
      <c r="K126" s="450">
        <v>44470</v>
      </c>
      <c r="L126" s="450">
        <v>44500</v>
      </c>
      <c r="M126" s="490"/>
      <c r="N126" s="490"/>
      <c r="O126" s="406"/>
      <c r="P126" s="406"/>
      <c r="Q126" s="406"/>
      <c r="R126" s="406"/>
      <c r="S126" s="406"/>
      <c r="T126" s="406"/>
      <c r="U126" s="406"/>
      <c r="V126" s="406"/>
      <c r="W126" s="406"/>
      <c r="X126" s="406"/>
      <c r="Y126" s="406"/>
      <c r="Z126" s="406"/>
      <c r="AA126" s="406"/>
      <c r="AB126" s="406"/>
      <c r="AC126" s="406"/>
      <c r="AD126" s="406"/>
      <c r="AE126" s="406"/>
      <c r="AF126" s="406"/>
      <c r="AG126" s="406"/>
      <c r="AH126" s="406"/>
      <c r="AI126" s="406"/>
      <c r="AJ126" s="406"/>
      <c r="AK126" s="406"/>
      <c r="AL126" s="406"/>
      <c r="AM126" s="406"/>
      <c r="AN126" s="406"/>
      <c r="AO126" s="406"/>
      <c r="AP126" s="406"/>
      <c r="AQ126" s="406"/>
      <c r="AR126" s="406"/>
      <c r="AS126" s="406"/>
      <c r="AT126" s="406"/>
      <c r="AU126" s="406"/>
      <c r="AV126" s="406"/>
      <c r="AW126" s="406"/>
      <c r="AX126" s="406"/>
      <c r="AY126" s="406"/>
      <c r="AZ126" s="406"/>
      <c r="BA126" s="406"/>
      <c r="BB126" s="406"/>
      <c r="BC126" s="406"/>
      <c r="BD126" s="406"/>
      <c r="BE126" s="406"/>
      <c r="BF126" s="406"/>
      <c r="BG126" s="406"/>
      <c r="BH126" s="406"/>
      <c r="BI126" s="406"/>
      <c r="BJ126" s="406"/>
      <c r="BK126" s="406"/>
      <c r="BL126" s="406"/>
      <c r="BM126" s="406"/>
      <c r="BN126" s="406"/>
      <c r="BO126" s="406"/>
      <c r="BP126" s="406"/>
      <c r="BQ126" s="406"/>
      <c r="BR126" s="406"/>
      <c r="BS126" s="406"/>
      <c r="BT126" s="406"/>
      <c r="BU126" s="406"/>
      <c r="BV126" s="406"/>
      <c r="BW126" s="406"/>
      <c r="BX126" s="406"/>
      <c r="BY126" s="406"/>
      <c r="BZ126" s="406"/>
      <c r="CA126" s="406"/>
      <c r="CB126" s="406"/>
      <c r="CC126" s="406"/>
      <c r="CD126" s="406"/>
      <c r="CE126" s="406"/>
      <c r="CF126" s="406"/>
      <c r="CG126" s="406"/>
      <c r="CH126" s="406"/>
      <c r="CI126" s="406"/>
      <c r="CJ126" s="406"/>
      <c r="CK126" s="406"/>
      <c r="CL126" s="406"/>
      <c r="CM126" s="406"/>
      <c r="CN126" s="406"/>
      <c r="CO126" s="406"/>
      <c r="CP126" s="406"/>
      <c r="CQ126" s="406"/>
      <c r="CR126" s="406"/>
      <c r="CS126" s="406"/>
      <c r="CT126" s="406"/>
      <c r="CU126" s="406"/>
      <c r="CV126" s="406"/>
      <c r="CW126" s="406"/>
      <c r="CX126" s="406"/>
      <c r="CY126" s="406"/>
      <c r="CZ126" s="406"/>
      <c r="DA126" s="406"/>
      <c r="DB126" s="406"/>
      <c r="DC126" s="406"/>
      <c r="DD126" s="406"/>
      <c r="DE126" s="406"/>
      <c r="DF126" s="406"/>
      <c r="DG126" s="406"/>
      <c r="DH126" s="406"/>
      <c r="DI126" s="406"/>
      <c r="DJ126" s="406"/>
      <c r="DK126" s="406"/>
      <c r="DL126" s="406"/>
      <c r="DM126" s="406"/>
      <c r="DN126" s="406"/>
      <c r="DO126" s="406"/>
      <c r="DP126" s="406"/>
      <c r="DQ126" s="406"/>
      <c r="DR126" s="406"/>
      <c r="DS126" s="406"/>
      <c r="DT126" s="406"/>
      <c r="DU126" s="406"/>
      <c r="DV126" s="406"/>
      <c r="DW126" s="406"/>
      <c r="DX126" s="406"/>
      <c r="DY126" s="406"/>
      <c r="DZ126" s="406"/>
    </row>
    <row r="127" spans="1:130" ht="41.25" hidden="1" customHeight="1" outlineLevel="2">
      <c r="A127" s="438"/>
      <c r="B127" s="490"/>
      <c r="C127" s="398" t="s">
        <v>808</v>
      </c>
      <c r="D127" s="399" t="s">
        <v>391</v>
      </c>
      <c r="E127" s="385"/>
      <c r="F127" s="400"/>
      <c r="G127" s="430" t="s">
        <v>823</v>
      </c>
      <c r="H127" s="401" t="s">
        <v>824</v>
      </c>
      <c r="I127" s="385" t="s">
        <v>172</v>
      </c>
      <c r="J127" s="489"/>
      <c r="K127" s="412"/>
      <c r="L127" s="412"/>
      <c r="M127" s="490" t="s">
        <v>813</v>
      </c>
      <c r="N127" s="490">
        <v>14</v>
      </c>
    </row>
    <row r="128" spans="1:130" ht="162" hidden="1" outlineLevel="2">
      <c r="A128" s="453"/>
      <c r="B128" s="490"/>
      <c r="C128" s="398" t="s">
        <v>808</v>
      </c>
      <c r="D128" s="399" t="s">
        <v>391</v>
      </c>
      <c r="E128" s="385"/>
      <c r="F128" s="400"/>
      <c r="G128" s="430" t="s">
        <v>825</v>
      </c>
      <c r="H128" s="401" t="s">
        <v>826</v>
      </c>
      <c r="I128" s="385" t="s">
        <v>827</v>
      </c>
      <c r="J128" s="489"/>
      <c r="K128" s="412"/>
      <c r="L128" s="412"/>
      <c r="M128" s="490" t="s">
        <v>813</v>
      </c>
      <c r="N128" s="490">
        <v>2</v>
      </c>
    </row>
    <row r="129" spans="1:130" ht="44.25" hidden="1" customHeight="1" outlineLevel="2">
      <c r="A129" s="453"/>
      <c r="B129" s="490"/>
      <c r="C129" s="398" t="s">
        <v>808</v>
      </c>
      <c r="D129" s="399" t="s">
        <v>391</v>
      </c>
      <c r="E129" s="385"/>
      <c r="F129" s="400"/>
      <c r="G129" s="430" t="s">
        <v>828</v>
      </c>
      <c r="H129" s="401" t="s">
        <v>829</v>
      </c>
      <c r="I129" s="385" t="s">
        <v>830</v>
      </c>
      <c r="J129" s="489"/>
      <c r="K129" s="412"/>
      <c r="L129" s="412"/>
      <c r="M129" s="490" t="s">
        <v>813</v>
      </c>
      <c r="N129" s="490">
        <v>2</v>
      </c>
    </row>
    <row r="130" spans="1:130" ht="46.5" hidden="1" customHeight="1" outlineLevel="2">
      <c r="A130" s="438"/>
      <c r="B130" s="490"/>
      <c r="C130" s="398" t="s">
        <v>808</v>
      </c>
      <c r="D130" s="399" t="s">
        <v>391</v>
      </c>
      <c r="E130" s="385"/>
      <c r="F130" s="400"/>
      <c r="G130" s="430" t="s">
        <v>831</v>
      </c>
      <c r="H130" s="401" t="s">
        <v>832</v>
      </c>
      <c r="I130" s="385" t="s">
        <v>833</v>
      </c>
      <c r="J130" s="489"/>
      <c r="K130" s="412"/>
      <c r="L130" s="412"/>
      <c r="M130" s="490" t="s">
        <v>813</v>
      </c>
      <c r="N130" s="490">
        <v>1</v>
      </c>
    </row>
    <row r="131" spans="1:130" ht="41.25" hidden="1" customHeight="1" outlineLevel="2">
      <c r="A131" s="438"/>
      <c r="B131" s="490"/>
      <c r="C131" s="398" t="s">
        <v>808</v>
      </c>
      <c r="D131" s="399" t="s">
        <v>391</v>
      </c>
      <c r="E131" s="385"/>
      <c r="F131" s="400"/>
      <c r="G131" s="430" t="s">
        <v>834</v>
      </c>
      <c r="H131" s="401" t="s">
        <v>835</v>
      </c>
      <c r="I131" s="385" t="s">
        <v>836</v>
      </c>
      <c r="J131" s="489"/>
      <c r="K131" s="412"/>
      <c r="L131" s="412"/>
      <c r="M131" s="490" t="s">
        <v>813</v>
      </c>
      <c r="N131" s="490">
        <v>1</v>
      </c>
    </row>
    <row r="132" spans="1:130" s="405" customFormat="1" ht="63.6" customHeight="1" outlineLevel="1" collapsed="1">
      <c r="A132" s="489" t="s">
        <v>1258</v>
      </c>
      <c r="B132" s="490" t="s">
        <v>52</v>
      </c>
      <c r="C132" s="398" t="s">
        <v>808</v>
      </c>
      <c r="D132" s="398" t="s">
        <v>391</v>
      </c>
      <c r="E132" s="490" t="s">
        <v>837</v>
      </c>
      <c r="F132" s="385" t="s">
        <v>1618</v>
      </c>
      <c r="G132" s="385" t="s">
        <v>1619</v>
      </c>
      <c r="H132" s="401" t="s">
        <v>1582</v>
      </c>
      <c r="I132" s="385" t="str">
        <f>CONCATENATE(I133," ",N133,M133," ",)</f>
        <v xml:space="preserve">установка ПЗУ 66шт </v>
      </c>
      <c r="J132" s="385" t="s">
        <v>365</v>
      </c>
      <c r="K132" s="450">
        <v>44317</v>
      </c>
      <c r="L132" s="450">
        <v>44469</v>
      </c>
      <c r="M132" s="490"/>
      <c r="N132" s="490"/>
      <c r="O132" s="493"/>
      <c r="P132" s="493"/>
      <c r="Q132" s="493"/>
      <c r="R132" s="493"/>
      <c r="S132" s="493"/>
      <c r="T132" s="493"/>
      <c r="U132" s="493"/>
      <c r="V132" s="493"/>
      <c r="W132" s="493"/>
      <c r="X132" s="493"/>
      <c r="Y132" s="493"/>
      <c r="Z132" s="493"/>
      <c r="AA132" s="493"/>
      <c r="AB132" s="493"/>
      <c r="AC132" s="493"/>
      <c r="AD132" s="493"/>
      <c r="AE132" s="493"/>
      <c r="AF132" s="493"/>
      <c r="AG132" s="493"/>
      <c r="AH132" s="493"/>
      <c r="AI132" s="493"/>
      <c r="AJ132" s="493"/>
      <c r="AK132" s="493"/>
      <c r="AL132" s="493"/>
      <c r="AM132" s="493"/>
      <c r="AN132" s="493"/>
      <c r="AO132" s="493"/>
      <c r="AP132" s="493"/>
      <c r="AQ132" s="493"/>
      <c r="AR132" s="493"/>
      <c r="AS132" s="493"/>
      <c r="AT132" s="493"/>
      <c r="AU132" s="493"/>
      <c r="AV132" s="493"/>
      <c r="AW132" s="493"/>
      <c r="AX132" s="493"/>
      <c r="AY132" s="493"/>
      <c r="AZ132" s="493"/>
      <c r="BA132" s="493"/>
      <c r="BB132" s="493"/>
      <c r="BC132" s="493"/>
      <c r="BD132" s="493"/>
      <c r="BE132" s="493"/>
      <c r="BF132" s="493"/>
      <c r="BG132" s="493"/>
      <c r="BH132" s="493"/>
      <c r="BI132" s="493"/>
      <c r="BJ132" s="493"/>
      <c r="BK132" s="493"/>
      <c r="BL132" s="493"/>
      <c r="BM132" s="493"/>
      <c r="BN132" s="493"/>
      <c r="BO132" s="493"/>
      <c r="BP132" s="493"/>
      <c r="BQ132" s="493"/>
      <c r="BR132" s="493"/>
      <c r="BS132" s="493"/>
      <c r="BT132" s="493"/>
      <c r="BU132" s="493"/>
      <c r="BV132" s="493"/>
      <c r="BW132" s="493"/>
      <c r="BX132" s="493"/>
      <c r="BY132" s="493"/>
      <c r="BZ132" s="493"/>
      <c r="CA132" s="493"/>
      <c r="CB132" s="493"/>
      <c r="CC132" s="493"/>
      <c r="CD132" s="493"/>
      <c r="CE132" s="493"/>
      <c r="CF132" s="493"/>
      <c r="CG132" s="493"/>
      <c r="CH132" s="493"/>
      <c r="CI132" s="493"/>
      <c r="CJ132" s="493"/>
      <c r="CK132" s="493"/>
      <c r="CL132" s="493"/>
      <c r="CM132" s="493"/>
      <c r="CN132" s="493"/>
      <c r="CO132" s="493"/>
      <c r="CP132" s="493"/>
      <c r="CQ132" s="493"/>
      <c r="CR132" s="493"/>
      <c r="CS132" s="493"/>
      <c r="CT132" s="493"/>
      <c r="CU132" s="493"/>
      <c r="CV132" s="493"/>
      <c r="CW132" s="493"/>
      <c r="CX132" s="493"/>
      <c r="CY132" s="493"/>
      <c r="CZ132" s="493"/>
      <c r="DA132" s="493"/>
      <c r="DB132" s="493"/>
      <c r="DC132" s="493"/>
      <c r="DD132" s="493"/>
      <c r="DE132" s="493"/>
      <c r="DF132" s="493"/>
      <c r="DG132" s="493"/>
      <c r="DH132" s="493"/>
      <c r="DI132" s="493"/>
      <c r="DJ132" s="493"/>
      <c r="DK132" s="493"/>
      <c r="DL132" s="493"/>
      <c r="DM132" s="493"/>
      <c r="DN132" s="493"/>
      <c r="DO132" s="493"/>
      <c r="DP132" s="493"/>
      <c r="DQ132" s="493"/>
      <c r="DR132" s="493"/>
      <c r="DS132" s="493"/>
      <c r="DT132" s="493"/>
      <c r="DU132" s="493"/>
      <c r="DV132" s="493"/>
      <c r="DW132" s="493"/>
      <c r="DX132" s="493"/>
      <c r="DY132" s="493"/>
      <c r="DZ132" s="493"/>
    </row>
    <row r="133" spans="1:130" hidden="1" outlineLevel="2">
      <c r="A133" s="438"/>
      <c r="B133" s="490"/>
      <c r="C133" s="398" t="s">
        <v>808</v>
      </c>
      <c r="D133" s="399" t="s">
        <v>391</v>
      </c>
      <c r="E133" s="385"/>
      <c r="F133" s="385"/>
      <c r="G133" s="396"/>
      <c r="H133" s="401" t="s">
        <v>838</v>
      </c>
      <c r="I133" s="385" t="s">
        <v>817</v>
      </c>
      <c r="J133" s="489"/>
      <c r="K133" s="412"/>
      <c r="L133" s="412"/>
      <c r="M133" s="490" t="s">
        <v>813</v>
      </c>
      <c r="N133" s="490">
        <v>66</v>
      </c>
    </row>
    <row r="134" spans="1:130" s="384" customFormat="1" ht="40.5" outlineLevel="1" collapsed="1">
      <c r="A134" s="489" t="s">
        <v>1259</v>
      </c>
      <c r="B134" s="490" t="s">
        <v>52</v>
      </c>
      <c r="C134" s="398" t="s">
        <v>808</v>
      </c>
      <c r="D134" s="398" t="s">
        <v>391</v>
      </c>
      <c r="E134" s="490" t="s">
        <v>980</v>
      </c>
      <c r="F134" s="385" t="s">
        <v>810</v>
      </c>
      <c r="G134" s="385"/>
      <c r="H134" s="401" t="s">
        <v>1583</v>
      </c>
      <c r="I134" s="385" t="str">
        <f>CONCATENATE(I135," ",N135,M135," ",)</f>
        <v xml:space="preserve">окраска металлических опор 5шт </v>
      </c>
      <c r="J134" s="385" t="s">
        <v>365</v>
      </c>
      <c r="K134" s="450">
        <v>44348</v>
      </c>
      <c r="L134" s="450">
        <v>44439</v>
      </c>
      <c r="M134" s="490"/>
      <c r="N134" s="490"/>
    </row>
    <row r="135" spans="1:130" hidden="1" outlineLevel="2">
      <c r="A135" s="537"/>
      <c r="B135" s="490" t="s">
        <v>52</v>
      </c>
      <c r="C135" s="398" t="s">
        <v>808</v>
      </c>
      <c r="D135" s="399" t="s">
        <v>391</v>
      </c>
      <c r="E135" s="385"/>
      <c r="F135" s="385"/>
      <c r="G135" s="396"/>
      <c r="H135" s="401" t="s">
        <v>981</v>
      </c>
      <c r="I135" s="385" t="s">
        <v>982</v>
      </c>
      <c r="J135" s="489"/>
      <c r="K135" s="412"/>
      <c r="L135" s="412"/>
      <c r="M135" s="490" t="s">
        <v>813</v>
      </c>
      <c r="N135" s="490">
        <v>5</v>
      </c>
    </row>
    <row r="136" spans="1:130" s="384" customFormat="1" outlineLevel="1" collapsed="1">
      <c r="A136" s="489" t="s">
        <v>1260</v>
      </c>
      <c r="B136" s="490" t="s">
        <v>52</v>
      </c>
      <c r="C136" s="398" t="s">
        <v>808</v>
      </c>
      <c r="D136" s="398" t="s">
        <v>391</v>
      </c>
      <c r="E136" s="490" t="s">
        <v>983</v>
      </c>
      <c r="F136" s="385" t="s">
        <v>1211</v>
      </c>
      <c r="G136" s="385" t="s">
        <v>1212</v>
      </c>
      <c r="H136" s="401" t="s">
        <v>1584</v>
      </c>
      <c r="I136" s="385" t="str">
        <f>CONCATENATE(I137," ",N137,M137," ",I138," ",N138,M138,"")</f>
        <v>расчистка вручную 1,79га расширение просек 0,6га</v>
      </c>
      <c r="J136" s="385" t="s">
        <v>365</v>
      </c>
      <c r="K136" s="450">
        <v>44197</v>
      </c>
      <c r="L136" s="450">
        <v>44316</v>
      </c>
      <c r="M136" s="490"/>
      <c r="N136" s="490"/>
    </row>
    <row r="137" spans="1:130" ht="60.75" hidden="1" outlineLevel="2">
      <c r="A137" s="580"/>
      <c r="B137" s="490" t="s">
        <v>52</v>
      </c>
      <c r="C137" s="398" t="s">
        <v>808</v>
      </c>
      <c r="D137" s="399" t="s">
        <v>391</v>
      </c>
      <c r="E137" s="385"/>
      <c r="F137" s="385"/>
      <c r="G137" s="396"/>
      <c r="H137" s="401" t="s">
        <v>984</v>
      </c>
      <c r="I137" s="385" t="s">
        <v>985</v>
      </c>
      <c r="J137" s="489"/>
      <c r="K137" s="412"/>
      <c r="L137" s="412"/>
      <c r="M137" s="490" t="s">
        <v>117</v>
      </c>
      <c r="N137" s="435">
        <v>1.79</v>
      </c>
    </row>
    <row r="138" spans="1:130" ht="40.5" hidden="1" outlineLevel="2">
      <c r="A138" s="581"/>
      <c r="B138" s="490" t="s">
        <v>52</v>
      </c>
      <c r="C138" s="398" t="s">
        <v>808</v>
      </c>
      <c r="D138" s="399" t="s">
        <v>391</v>
      </c>
      <c r="E138" s="385"/>
      <c r="F138" s="400"/>
      <c r="G138" s="385"/>
      <c r="H138" s="401" t="s">
        <v>1725</v>
      </c>
      <c r="I138" s="385" t="s">
        <v>1726</v>
      </c>
      <c r="J138" s="489"/>
      <c r="K138" s="412"/>
      <c r="L138" s="412"/>
      <c r="M138" s="490" t="s">
        <v>117</v>
      </c>
      <c r="N138" s="489">
        <v>0.6</v>
      </c>
    </row>
    <row r="139" spans="1:130" s="384" customFormat="1" ht="40.5" outlineLevel="1" collapsed="1">
      <c r="A139" s="489" t="s">
        <v>1750</v>
      </c>
      <c r="B139" s="490" t="s">
        <v>52</v>
      </c>
      <c r="C139" s="398" t="s">
        <v>808</v>
      </c>
      <c r="D139" s="398" t="s">
        <v>391</v>
      </c>
      <c r="E139" s="490" t="s">
        <v>1595</v>
      </c>
      <c r="F139" s="385" t="s">
        <v>1211</v>
      </c>
      <c r="G139" s="385" t="s">
        <v>1212</v>
      </c>
      <c r="H139" s="401" t="s">
        <v>1585</v>
      </c>
      <c r="I139" s="385" t="str">
        <f>CONCATENATE(I140," ",N140,M140," ",I141," ",N141,M141,"")</f>
        <v>расчистка вручную 0,41га обрезка крон деревьев 103шт</v>
      </c>
      <c r="J139" s="385" t="s">
        <v>365</v>
      </c>
      <c r="K139" s="450">
        <v>44197</v>
      </c>
      <c r="L139" s="450">
        <v>44316</v>
      </c>
      <c r="M139" s="490"/>
      <c r="N139" s="490"/>
    </row>
    <row r="140" spans="1:130" ht="60.75" hidden="1" outlineLevel="2">
      <c r="A140" s="580"/>
      <c r="B140" s="490" t="s">
        <v>52</v>
      </c>
      <c r="C140" s="398" t="s">
        <v>808</v>
      </c>
      <c r="D140" s="399" t="s">
        <v>391</v>
      </c>
      <c r="E140" s="385"/>
      <c r="F140" s="385"/>
      <c r="G140" s="396"/>
      <c r="H140" s="401" t="s">
        <v>988</v>
      </c>
      <c r="I140" s="385" t="s">
        <v>985</v>
      </c>
      <c r="J140" s="489"/>
      <c r="K140" s="412"/>
      <c r="L140" s="412"/>
      <c r="M140" s="490" t="s">
        <v>117</v>
      </c>
      <c r="N140" s="435">
        <v>0.41</v>
      </c>
    </row>
    <row r="141" spans="1:130" ht="40.5" hidden="1" outlineLevel="2">
      <c r="A141" s="581"/>
      <c r="B141" s="490" t="s">
        <v>52</v>
      </c>
      <c r="C141" s="398" t="s">
        <v>808</v>
      </c>
      <c r="D141" s="399" t="s">
        <v>391</v>
      </c>
      <c r="E141" s="385"/>
      <c r="F141" s="385"/>
      <c r="G141" s="396"/>
      <c r="H141" s="401" t="s">
        <v>989</v>
      </c>
      <c r="I141" s="385" t="s">
        <v>840</v>
      </c>
      <c r="J141" s="489"/>
      <c r="K141" s="412"/>
      <c r="L141" s="412"/>
      <c r="M141" s="490" t="s">
        <v>813</v>
      </c>
      <c r="N141" s="490">
        <v>103</v>
      </c>
    </row>
    <row r="142" spans="1:130" s="384" customFormat="1" ht="40.5" outlineLevel="1" collapsed="1">
      <c r="A142" s="489" t="s">
        <v>1261</v>
      </c>
      <c r="B142" s="490" t="s">
        <v>52</v>
      </c>
      <c r="C142" s="398" t="s">
        <v>808</v>
      </c>
      <c r="D142" s="398" t="s">
        <v>391</v>
      </c>
      <c r="E142" s="490" t="s">
        <v>990</v>
      </c>
      <c r="F142" s="385" t="s">
        <v>1211</v>
      </c>
      <c r="G142" s="385" t="s">
        <v>1212</v>
      </c>
      <c r="H142" s="401" t="s">
        <v>1585</v>
      </c>
      <c r="I142" s="385" t="str">
        <f>CONCATENATE(I143," ",N143,M143," ",I144," ",N144,M144,"")</f>
        <v>расчистка вручную 1,07га обрезка крон деревьев 27шт</v>
      </c>
      <c r="J142" s="385" t="s">
        <v>365</v>
      </c>
      <c r="K142" s="450">
        <v>44197</v>
      </c>
      <c r="L142" s="450">
        <v>44316</v>
      </c>
      <c r="M142" s="490"/>
      <c r="N142" s="490"/>
    </row>
    <row r="143" spans="1:130" ht="60.75" hidden="1" outlineLevel="2">
      <c r="A143" s="580"/>
      <c r="B143" s="490" t="s">
        <v>52</v>
      </c>
      <c r="C143" s="398" t="s">
        <v>808</v>
      </c>
      <c r="D143" s="399" t="s">
        <v>391</v>
      </c>
      <c r="E143" s="385"/>
      <c r="F143" s="385"/>
      <c r="G143" s="396"/>
      <c r="H143" s="401" t="s">
        <v>991</v>
      </c>
      <c r="I143" s="385" t="s">
        <v>985</v>
      </c>
      <c r="J143" s="489"/>
      <c r="K143" s="412"/>
      <c r="L143" s="412"/>
      <c r="M143" s="490" t="s">
        <v>117</v>
      </c>
      <c r="N143" s="435">
        <v>1.07</v>
      </c>
    </row>
    <row r="144" spans="1:130" hidden="1" outlineLevel="2">
      <c r="A144" s="581"/>
      <c r="B144" s="490" t="s">
        <v>52</v>
      </c>
      <c r="C144" s="398" t="s">
        <v>808</v>
      </c>
      <c r="D144" s="399" t="s">
        <v>391</v>
      </c>
      <c r="E144" s="385"/>
      <c r="F144" s="385"/>
      <c r="G144" s="396"/>
      <c r="H144" s="401" t="s">
        <v>992</v>
      </c>
      <c r="I144" s="385" t="s">
        <v>840</v>
      </c>
      <c r="J144" s="489"/>
      <c r="K144" s="412"/>
      <c r="L144" s="412"/>
      <c r="M144" s="490" t="s">
        <v>813</v>
      </c>
      <c r="N144" s="490">
        <v>27</v>
      </c>
    </row>
    <row r="145" spans="1:14" s="384" customFormat="1" ht="64.5" customHeight="1" outlineLevel="1" collapsed="1">
      <c r="A145" s="489" t="s">
        <v>1751</v>
      </c>
      <c r="B145" s="490" t="s">
        <v>52</v>
      </c>
      <c r="C145" s="398" t="s">
        <v>808</v>
      </c>
      <c r="D145" s="398" t="s">
        <v>391</v>
      </c>
      <c r="E145" s="490" t="s">
        <v>993</v>
      </c>
      <c r="F145" s="385" t="s">
        <v>810</v>
      </c>
      <c r="G145" s="385"/>
      <c r="H145" s="401" t="s">
        <v>1586</v>
      </c>
      <c r="I145" s="385" t="str">
        <f>CONCATENATE(I146," ",N146,M146," ",I147," ",N147,M147," ",I148," ",N148,M148," ",I149," ",N149,M149," ",)</f>
        <v xml:space="preserve">выправка опор 10шт обваловка опор  24шт монтаж шлейфа грозотроса 2шт замена  дефектной изоляции  7шт </v>
      </c>
      <c r="J145" s="385" t="s">
        <v>365</v>
      </c>
      <c r="K145" s="450">
        <v>44197</v>
      </c>
      <c r="L145" s="450">
        <v>44316</v>
      </c>
      <c r="M145" s="490"/>
      <c r="N145" s="490"/>
    </row>
    <row r="146" spans="1:14" hidden="1" outlineLevel="2">
      <c r="A146" s="580"/>
      <c r="B146" s="490" t="s">
        <v>52</v>
      </c>
      <c r="C146" s="398" t="s">
        <v>808</v>
      </c>
      <c r="D146" s="399" t="s">
        <v>391</v>
      </c>
      <c r="E146" s="385"/>
      <c r="F146" s="385"/>
      <c r="G146" s="396"/>
      <c r="H146" s="401" t="s">
        <v>994</v>
      </c>
      <c r="I146" s="385" t="s">
        <v>845</v>
      </c>
      <c r="J146" s="489"/>
      <c r="K146" s="412"/>
      <c r="L146" s="412"/>
      <c r="M146" s="490" t="s">
        <v>813</v>
      </c>
      <c r="N146" s="490">
        <f>10</f>
        <v>10</v>
      </c>
    </row>
    <row r="147" spans="1:14" ht="49.5" hidden="1" customHeight="1" outlineLevel="2">
      <c r="A147" s="582"/>
      <c r="B147" s="490" t="s">
        <v>52</v>
      </c>
      <c r="C147" s="398" t="s">
        <v>808</v>
      </c>
      <c r="D147" s="399" t="s">
        <v>391</v>
      </c>
      <c r="E147" s="385"/>
      <c r="F147" s="385"/>
      <c r="G147" s="396"/>
      <c r="H147" s="401" t="s">
        <v>1506</v>
      </c>
      <c r="I147" s="385" t="s">
        <v>987</v>
      </c>
      <c r="J147" s="489"/>
      <c r="K147" s="412"/>
      <c r="L147" s="412"/>
      <c r="M147" s="490" t="s">
        <v>813</v>
      </c>
      <c r="N147" s="490">
        <v>24</v>
      </c>
    </row>
    <row r="148" spans="1:14" hidden="1" outlineLevel="2">
      <c r="A148" s="582"/>
      <c r="B148" s="490" t="s">
        <v>52</v>
      </c>
      <c r="C148" s="398" t="s">
        <v>808</v>
      </c>
      <c r="D148" s="399" t="s">
        <v>391</v>
      </c>
      <c r="E148" s="385"/>
      <c r="F148" s="385"/>
      <c r="G148" s="396"/>
      <c r="H148" s="401" t="s">
        <v>995</v>
      </c>
      <c r="I148" s="385" t="s">
        <v>996</v>
      </c>
      <c r="J148" s="489"/>
      <c r="K148" s="412"/>
      <c r="L148" s="412"/>
      <c r="M148" s="490" t="s">
        <v>813</v>
      </c>
      <c r="N148" s="490">
        <v>2</v>
      </c>
    </row>
    <row r="149" spans="1:14" hidden="1" outlineLevel="2">
      <c r="A149" s="581"/>
      <c r="B149" s="490" t="s">
        <v>52</v>
      </c>
      <c r="C149" s="398" t="s">
        <v>808</v>
      </c>
      <c r="D149" s="399" t="s">
        <v>391</v>
      </c>
      <c r="E149" s="385"/>
      <c r="F149" s="385"/>
      <c r="G149" s="396"/>
      <c r="H149" s="401" t="s">
        <v>997</v>
      </c>
      <c r="I149" s="385" t="s">
        <v>998</v>
      </c>
      <c r="J149" s="489"/>
      <c r="K149" s="412"/>
      <c r="L149" s="412"/>
      <c r="M149" s="490" t="s">
        <v>813</v>
      </c>
      <c r="N149" s="490">
        <v>7</v>
      </c>
    </row>
    <row r="150" spans="1:14" s="384" customFormat="1" ht="40.5" outlineLevel="1" collapsed="1">
      <c r="A150" s="489" t="s">
        <v>1262</v>
      </c>
      <c r="B150" s="490" t="s">
        <v>52</v>
      </c>
      <c r="C150" s="398" t="s">
        <v>808</v>
      </c>
      <c r="D150" s="398" t="s">
        <v>391</v>
      </c>
      <c r="E150" s="490" t="s">
        <v>1120</v>
      </c>
      <c r="F150" s="385" t="s">
        <v>810</v>
      </c>
      <c r="G150" s="385"/>
      <c r="H150" s="401" t="s">
        <v>1587</v>
      </c>
      <c r="I150" s="385" t="str">
        <f>CONCATENATE(I151," ",N151,M151," ",I152," ",N152,M152,," ",I153," ",N153,M153)</f>
        <v>механизированная расчистка 36,17га расчистка вручную 11,86га расширение просек 11,91га</v>
      </c>
      <c r="J150" s="385" t="s">
        <v>365</v>
      </c>
      <c r="K150" s="450">
        <v>44197</v>
      </c>
      <c r="L150" s="450">
        <v>44561</v>
      </c>
      <c r="M150" s="490"/>
      <c r="N150" s="490"/>
    </row>
    <row r="151" spans="1:14" ht="60.75" hidden="1" outlineLevel="2">
      <c r="A151" s="580"/>
      <c r="B151" s="490" t="s">
        <v>52</v>
      </c>
      <c r="C151" s="398" t="s">
        <v>808</v>
      </c>
      <c r="D151" s="399" t="s">
        <v>391</v>
      </c>
      <c r="E151" s="385"/>
      <c r="F151" s="385"/>
      <c r="G151" s="396"/>
      <c r="H151" s="401" t="s">
        <v>3767</v>
      </c>
      <c r="I151" s="385" t="s">
        <v>974</v>
      </c>
      <c r="J151" s="489"/>
      <c r="K151" s="412"/>
      <c r="L151" s="412"/>
      <c r="M151" s="490" t="s">
        <v>117</v>
      </c>
      <c r="N151" s="438">
        <f>29+6+1.17</f>
        <v>36.17</v>
      </c>
    </row>
    <row r="152" spans="1:14" hidden="1" outlineLevel="2">
      <c r="A152" s="582"/>
      <c r="B152" s="490" t="s">
        <v>52</v>
      </c>
      <c r="C152" s="398" t="s">
        <v>808</v>
      </c>
      <c r="D152" s="399" t="s">
        <v>391</v>
      </c>
      <c r="E152" s="385"/>
      <c r="F152" s="385"/>
      <c r="G152" s="396"/>
      <c r="H152" s="401"/>
      <c r="I152" s="385" t="s">
        <v>985</v>
      </c>
      <c r="J152" s="489"/>
      <c r="K152" s="412"/>
      <c r="L152" s="412"/>
      <c r="M152" s="490" t="s">
        <v>117</v>
      </c>
      <c r="N152" s="435">
        <v>11.86</v>
      </c>
    </row>
    <row r="153" spans="1:14" ht="121.5" hidden="1" outlineLevel="2">
      <c r="A153" s="581"/>
      <c r="B153" s="490" t="s">
        <v>52</v>
      </c>
      <c r="C153" s="398" t="s">
        <v>808</v>
      </c>
      <c r="D153" s="399" t="s">
        <v>391</v>
      </c>
      <c r="E153" s="385"/>
      <c r="F153" s="385"/>
      <c r="G153" s="396"/>
      <c r="H153" s="401" t="s">
        <v>3764</v>
      </c>
      <c r="I153" s="385" t="s">
        <v>1726</v>
      </c>
      <c r="J153" s="489"/>
      <c r="K153" s="412"/>
      <c r="L153" s="412"/>
      <c r="M153" s="490" t="s">
        <v>117</v>
      </c>
      <c r="N153" s="438">
        <v>11.91</v>
      </c>
    </row>
    <row r="154" spans="1:14" s="384" customFormat="1" ht="40.5" outlineLevel="1" collapsed="1">
      <c r="A154" s="489" t="s">
        <v>1263</v>
      </c>
      <c r="B154" s="490" t="s">
        <v>52</v>
      </c>
      <c r="C154" s="398" t="s">
        <v>808</v>
      </c>
      <c r="D154" s="398" t="s">
        <v>391</v>
      </c>
      <c r="E154" s="490" t="s">
        <v>3699</v>
      </c>
      <c r="F154" s="385" t="s">
        <v>810</v>
      </c>
      <c r="G154" s="385"/>
      <c r="H154" s="401" t="s">
        <v>1588</v>
      </c>
      <c r="I154" s="385" t="str">
        <f>CONCATENATE(I155," ",N155,M155," ",I156," ",N156,M156,," ",I157," ",N157,M157)</f>
        <v>механизированная расчистка 29га расчистка вручную 11,44га расширение просек 8,17га</v>
      </c>
      <c r="J154" s="385" t="s">
        <v>365</v>
      </c>
      <c r="K154" s="450">
        <v>44197</v>
      </c>
      <c r="L154" s="450">
        <v>44561</v>
      </c>
      <c r="M154" s="490"/>
      <c r="N154" s="438"/>
    </row>
    <row r="155" spans="1:14" ht="68.25" hidden="1" customHeight="1" outlineLevel="2">
      <c r="A155" s="580"/>
      <c r="B155" s="490" t="s">
        <v>52</v>
      </c>
      <c r="C155" s="398" t="s">
        <v>808</v>
      </c>
      <c r="D155" s="399" t="s">
        <v>391</v>
      </c>
      <c r="E155" s="385"/>
      <c r="F155" s="385"/>
      <c r="G155" s="396"/>
      <c r="H155" s="401" t="s">
        <v>3765</v>
      </c>
      <c r="I155" s="385" t="s">
        <v>974</v>
      </c>
      <c r="J155" s="489"/>
      <c r="K155" s="412"/>
      <c r="L155" s="412"/>
      <c r="M155" s="490" t="s">
        <v>117</v>
      </c>
      <c r="N155" s="438">
        <f>18+8+3</f>
        <v>29</v>
      </c>
    </row>
    <row r="156" spans="1:14" hidden="1" outlineLevel="2">
      <c r="A156" s="582"/>
      <c r="B156" s="490" t="s">
        <v>52</v>
      </c>
      <c r="C156" s="398" t="s">
        <v>808</v>
      </c>
      <c r="D156" s="399" t="s">
        <v>391</v>
      </c>
      <c r="E156" s="385"/>
      <c r="F156" s="385"/>
      <c r="G156" s="396"/>
      <c r="H156" s="401"/>
      <c r="I156" s="385" t="s">
        <v>985</v>
      </c>
      <c r="J156" s="489"/>
      <c r="K156" s="412"/>
      <c r="L156" s="412"/>
      <c r="M156" s="490" t="s">
        <v>117</v>
      </c>
      <c r="N156" s="435">
        <v>11.44</v>
      </c>
    </row>
    <row r="157" spans="1:14" ht="94.5" hidden="1" customHeight="1" outlineLevel="2">
      <c r="A157" s="581"/>
      <c r="B157" s="490" t="s">
        <v>52</v>
      </c>
      <c r="C157" s="398" t="s">
        <v>808</v>
      </c>
      <c r="D157" s="399" t="s">
        <v>391</v>
      </c>
      <c r="E157" s="385"/>
      <c r="F157" s="385"/>
      <c r="G157" s="396"/>
      <c r="H157" s="401" t="s">
        <v>3766</v>
      </c>
      <c r="I157" s="385" t="s">
        <v>1726</v>
      </c>
      <c r="J157" s="489"/>
      <c r="K157" s="412"/>
      <c r="L157" s="412"/>
      <c r="M157" s="490" t="s">
        <v>117</v>
      </c>
      <c r="N157" s="438">
        <v>8.17</v>
      </c>
    </row>
    <row r="158" spans="1:14" s="384" customFormat="1" ht="40.5" outlineLevel="1" collapsed="1">
      <c r="A158" s="489" t="s">
        <v>1264</v>
      </c>
      <c r="B158" s="490" t="s">
        <v>52</v>
      </c>
      <c r="C158" s="398" t="s">
        <v>607</v>
      </c>
      <c r="D158" s="398" t="s">
        <v>391</v>
      </c>
      <c r="E158" s="490" t="s">
        <v>1242</v>
      </c>
      <c r="F158" s="385" t="s">
        <v>810</v>
      </c>
      <c r="G158" s="385"/>
      <c r="H158" s="401" t="s">
        <v>1589</v>
      </c>
      <c r="I158" s="385" t="str">
        <f>CONCATENATE(I159," ",N159,M159," ",)</f>
        <v xml:space="preserve">обваловка опоры 1шт </v>
      </c>
      <c r="J158" s="385" t="s">
        <v>365</v>
      </c>
      <c r="K158" s="450">
        <v>44197</v>
      </c>
      <c r="L158" s="450">
        <v>44286</v>
      </c>
      <c r="M158" s="490"/>
      <c r="N158" s="490"/>
    </row>
    <row r="159" spans="1:14" hidden="1" outlineLevel="2" collapsed="1">
      <c r="A159" s="538"/>
      <c r="B159" s="490" t="s">
        <v>52</v>
      </c>
      <c r="C159" s="398" t="s">
        <v>607</v>
      </c>
      <c r="D159" s="399" t="s">
        <v>391</v>
      </c>
      <c r="E159" s="385"/>
      <c r="F159" s="385"/>
      <c r="G159" s="396"/>
      <c r="H159" s="401" t="s">
        <v>1243</v>
      </c>
      <c r="I159" s="385" t="s">
        <v>1244</v>
      </c>
      <c r="J159" s="489"/>
      <c r="K159" s="412"/>
      <c r="L159" s="412"/>
      <c r="M159" s="490" t="s">
        <v>813</v>
      </c>
      <c r="N159" s="490">
        <v>1</v>
      </c>
    </row>
    <row r="160" spans="1:14" s="384" customFormat="1" ht="40.5" outlineLevel="1" collapsed="1">
      <c r="A160" s="489" t="s">
        <v>1265</v>
      </c>
      <c r="B160" s="490" t="s">
        <v>52</v>
      </c>
      <c r="C160" s="398" t="s">
        <v>808</v>
      </c>
      <c r="D160" s="398" t="s">
        <v>391</v>
      </c>
      <c r="E160" s="490" t="s">
        <v>1719</v>
      </c>
      <c r="F160" s="385" t="s">
        <v>1211</v>
      </c>
      <c r="G160" s="385" t="s">
        <v>1212</v>
      </c>
      <c r="H160" s="401" t="s">
        <v>3700</v>
      </c>
      <c r="I160" s="385" t="str">
        <f>CONCATENATE(I161," ",N161,M161," ",I162," ",N162,M162,," ",I163," ",N163,M163)</f>
        <v>расширение просек 2,69га расчистка вручную 0,17га обрезка крон деревьев 131шт</v>
      </c>
      <c r="J160" s="385" t="s">
        <v>365</v>
      </c>
      <c r="K160" s="450">
        <v>44197</v>
      </c>
      <c r="L160" s="450">
        <v>44561</v>
      </c>
      <c r="M160" s="490"/>
      <c r="N160" s="490"/>
    </row>
    <row r="161" spans="1:130" ht="159" hidden="1" customHeight="1" outlineLevel="2">
      <c r="A161" s="538"/>
      <c r="B161" s="490" t="s">
        <v>52</v>
      </c>
      <c r="C161" s="398" t="s">
        <v>808</v>
      </c>
      <c r="D161" s="399" t="s">
        <v>391</v>
      </c>
      <c r="E161" s="385"/>
      <c r="F161" s="385"/>
      <c r="G161" s="396"/>
      <c r="H161" s="401" t="s">
        <v>3701</v>
      </c>
      <c r="I161" s="385" t="s">
        <v>1726</v>
      </c>
      <c r="J161" s="489"/>
      <c r="K161" s="412"/>
      <c r="L161" s="412"/>
      <c r="M161" s="490" t="s">
        <v>117</v>
      </c>
      <c r="N161" s="490">
        <v>2.69</v>
      </c>
    </row>
    <row r="162" spans="1:130" ht="60.75" hidden="1" outlineLevel="2">
      <c r="A162" s="450"/>
      <c r="B162" s="490"/>
      <c r="C162" s="398"/>
      <c r="D162" s="399"/>
      <c r="E162" s="385"/>
      <c r="F162" s="400"/>
      <c r="G162" s="385"/>
      <c r="H162" s="401" t="s">
        <v>1720</v>
      </c>
      <c r="I162" s="385" t="s">
        <v>985</v>
      </c>
      <c r="J162" s="489"/>
      <c r="K162" s="412"/>
      <c r="L162" s="412"/>
      <c r="M162" s="490" t="s">
        <v>117</v>
      </c>
      <c r="N162" s="435">
        <v>0.17</v>
      </c>
    </row>
    <row r="163" spans="1:130" hidden="1" outlineLevel="2">
      <c r="A163" s="450"/>
      <c r="B163" s="450"/>
      <c r="C163" s="450"/>
      <c r="D163" s="450"/>
      <c r="E163" s="450"/>
      <c r="F163" s="450"/>
      <c r="G163" s="467"/>
      <c r="H163" s="401" t="s">
        <v>3702</v>
      </c>
      <c r="I163" s="385" t="s">
        <v>840</v>
      </c>
      <c r="J163" s="489"/>
      <c r="K163" s="412"/>
      <c r="L163" s="412"/>
      <c r="M163" s="490" t="s">
        <v>813</v>
      </c>
      <c r="N163" s="490">
        <v>131</v>
      </c>
    </row>
    <row r="164" spans="1:130" hidden="1" outlineLevel="2">
      <c r="A164" s="450"/>
      <c r="B164" s="490"/>
      <c r="C164" s="398"/>
      <c r="D164" s="399"/>
      <c r="E164" s="385"/>
      <c r="F164" s="400"/>
      <c r="G164" s="385"/>
      <c r="H164" s="401"/>
      <c r="I164" s="385"/>
      <c r="J164" s="489"/>
      <c r="K164" s="412"/>
      <c r="L164" s="412"/>
      <c r="M164" s="490"/>
      <c r="N164" s="438"/>
    </row>
    <row r="165" spans="1:130" hidden="1" outlineLevel="2">
      <c r="A165" s="450"/>
      <c r="B165" s="490"/>
      <c r="C165" s="398"/>
      <c r="D165" s="399"/>
      <c r="E165" s="385"/>
      <c r="F165" s="400"/>
      <c r="G165" s="385"/>
      <c r="H165" s="401"/>
      <c r="I165" s="385"/>
      <c r="J165" s="489"/>
      <c r="K165" s="412"/>
      <c r="L165" s="412"/>
      <c r="M165" s="490"/>
      <c r="N165" s="438"/>
    </row>
    <row r="166" spans="1:130" s="384" customFormat="1" ht="40.5" outlineLevel="1" collapsed="1">
      <c r="A166" s="489" t="s">
        <v>2008</v>
      </c>
      <c r="B166" s="490" t="s">
        <v>52</v>
      </c>
      <c r="C166" s="398" t="s">
        <v>808</v>
      </c>
      <c r="D166" s="398" t="s">
        <v>391</v>
      </c>
      <c r="E166" s="490" t="s">
        <v>1719</v>
      </c>
      <c r="F166" s="385" t="s">
        <v>810</v>
      </c>
      <c r="G166" s="385"/>
      <c r="H166" s="401" t="s">
        <v>3700</v>
      </c>
      <c r="I166" s="385" t="str">
        <f>CONCATENATE(I167," ",N167,M167," ",)</f>
        <v xml:space="preserve">замена дефектной изоляции 22шт </v>
      </c>
      <c r="J166" s="385" t="s">
        <v>365</v>
      </c>
      <c r="K166" s="450">
        <v>44197</v>
      </c>
      <c r="L166" s="450">
        <v>44561</v>
      </c>
      <c r="M166" s="490"/>
      <c r="N166" s="490"/>
    </row>
    <row r="167" spans="1:130" hidden="1" outlineLevel="2">
      <c r="A167" s="450"/>
      <c r="B167" s="490"/>
      <c r="C167" s="398"/>
      <c r="D167" s="399"/>
      <c r="E167" s="385"/>
      <c r="F167" s="400"/>
      <c r="G167" s="385"/>
      <c r="H167" s="401" t="s">
        <v>1722</v>
      </c>
      <c r="I167" s="385" t="s">
        <v>1721</v>
      </c>
      <c r="J167" s="489"/>
      <c r="K167" s="412"/>
      <c r="L167" s="412"/>
      <c r="M167" s="490" t="s">
        <v>813</v>
      </c>
      <c r="N167" s="403">
        <v>22</v>
      </c>
    </row>
    <row r="168" spans="1:130" s="384" customFormat="1" ht="40.5" outlineLevel="1" collapsed="1">
      <c r="A168" s="489" t="s">
        <v>2011</v>
      </c>
      <c r="B168" s="490" t="s">
        <v>288</v>
      </c>
      <c r="C168" s="398" t="s">
        <v>808</v>
      </c>
      <c r="D168" s="398" t="s">
        <v>391</v>
      </c>
      <c r="E168" s="398" t="s">
        <v>3361</v>
      </c>
      <c r="F168" s="385" t="s">
        <v>1211</v>
      </c>
      <c r="G168" s="385" t="s">
        <v>1212</v>
      </c>
      <c r="H168" s="401" t="s">
        <v>3362</v>
      </c>
      <c r="I168" s="385" t="str">
        <f>CONCATENATE(I169," ",N169,M169," ",I170," ",N170,M170,"")</f>
        <v>Ручная расчистка 1,38га Механизированная расчистка 3,2га</v>
      </c>
      <c r="J168" s="385" t="s">
        <v>365</v>
      </c>
      <c r="K168" s="467">
        <v>44197</v>
      </c>
      <c r="L168" s="450">
        <v>44561</v>
      </c>
      <c r="M168" s="490"/>
      <c r="N168" s="490"/>
    </row>
    <row r="169" spans="1:130" s="397" customFormat="1" ht="40.5" hidden="1" outlineLevel="2">
      <c r="A169" s="438"/>
      <c r="B169" s="490" t="s">
        <v>288</v>
      </c>
      <c r="C169" s="398" t="s">
        <v>808</v>
      </c>
      <c r="D169" s="399" t="s">
        <v>391</v>
      </c>
      <c r="E169" s="396"/>
      <c r="F169" s="396"/>
      <c r="G169" s="385" t="s">
        <v>807</v>
      </c>
      <c r="H169" s="401" t="s">
        <v>3363</v>
      </c>
      <c r="I169" s="385" t="s">
        <v>162</v>
      </c>
      <c r="J169" s="489"/>
      <c r="K169" s="412"/>
      <c r="L169" s="412"/>
      <c r="M169" s="490" t="s">
        <v>117</v>
      </c>
      <c r="N169" s="490">
        <v>1.38</v>
      </c>
    </row>
    <row r="170" spans="1:130" s="397" customFormat="1" ht="40.5" hidden="1" outlineLevel="2">
      <c r="A170" s="438"/>
      <c r="B170" s="490" t="s">
        <v>288</v>
      </c>
      <c r="C170" s="398" t="s">
        <v>808</v>
      </c>
      <c r="D170" s="399" t="s">
        <v>391</v>
      </c>
      <c r="E170" s="396"/>
      <c r="F170" s="396"/>
      <c r="G170" s="385" t="s">
        <v>807</v>
      </c>
      <c r="H170" s="401" t="s">
        <v>3364</v>
      </c>
      <c r="I170" s="385" t="s">
        <v>159</v>
      </c>
      <c r="J170" s="489"/>
      <c r="K170" s="412"/>
      <c r="L170" s="412"/>
      <c r="M170" s="490" t="s">
        <v>117</v>
      </c>
      <c r="N170" s="404">
        <v>3.2</v>
      </c>
    </row>
    <row r="171" spans="1:130" s="502" customFormat="1" ht="40.5" hidden="1" outlineLevel="2">
      <c r="A171" s="489" t="s">
        <v>2027</v>
      </c>
      <c r="B171" s="490" t="s">
        <v>288</v>
      </c>
      <c r="C171" s="398" t="s">
        <v>808</v>
      </c>
      <c r="D171" s="398" t="s">
        <v>391</v>
      </c>
      <c r="E171" s="398" t="s">
        <v>3703</v>
      </c>
      <c r="F171" s="385" t="s">
        <v>810</v>
      </c>
      <c r="G171" s="385" t="s">
        <v>1212</v>
      </c>
      <c r="H171" s="401" t="s">
        <v>3704</v>
      </c>
      <c r="I171" s="385" t="str">
        <f>CONCATENATE(I172," ",N172,M172," ",I173," ",N173,M173,," ",I174," ",N174,M174)</f>
        <v>механизированная расчистка 17,54га расчистка вручную 0,06га вырубка угрожающих деревьев 1920шт</v>
      </c>
      <c r="J171" s="385" t="s">
        <v>365</v>
      </c>
      <c r="K171" s="467">
        <v>44470</v>
      </c>
      <c r="L171" s="450">
        <v>44561</v>
      </c>
      <c r="M171" s="540"/>
      <c r="N171" s="540"/>
    </row>
    <row r="172" spans="1:130" s="397" customFormat="1" ht="40.5" hidden="1" outlineLevel="2">
      <c r="A172" s="438"/>
      <c r="B172" s="490" t="s">
        <v>288</v>
      </c>
      <c r="C172" s="398" t="s">
        <v>808</v>
      </c>
      <c r="D172" s="399" t="s">
        <v>391</v>
      </c>
      <c r="E172" s="396"/>
      <c r="F172" s="396"/>
      <c r="G172" s="385" t="s">
        <v>807</v>
      </c>
      <c r="H172" s="401" t="s">
        <v>3705</v>
      </c>
      <c r="I172" s="385" t="s">
        <v>974</v>
      </c>
      <c r="J172" s="489"/>
      <c r="K172" s="412"/>
      <c r="L172" s="412"/>
      <c r="M172" s="490" t="s">
        <v>117</v>
      </c>
      <c r="N172" s="490">
        <v>17.54</v>
      </c>
    </row>
    <row r="173" spans="1:130" s="397" customFormat="1" ht="40.5" hidden="1" outlineLevel="2">
      <c r="A173" s="438"/>
      <c r="B173" s="490" t="s">
        <v>288</v>
      </c>
      <c r="C173" s="398" t="s">
        <v>808</v>
      </c>
      <c r="D173" s="399" t="s">
        <v>391</v>
      </c>
      <c r="E173" s="396"/>
      <c r="F173" s="396"/>
      <c r="G173" s="385" t="s">
        <v>807</v>
      </c>
      <c r="H173" s="401" t="s">
        <v>3706</v>
      </c>
      <c r="I173" s="385" t="s">
        <v>985</v>
      </c>
      <c r="J173" s="489"/>
      <c r="K173" s="412"/>
      <c r="L173" s="412"/>
      <c r="M173" s="490" t="s">
        <v>117</v>
      </c>
      <c r="N173" s="404">
        <v>0.06</v>
      </c>
    </row>
    <row r="174" spans="1:130" s="397" customFormat="1" hidden="1" outlineLevel="2">
      <c r="A174" s="438"/>
      <c r="B174" s="490"/>
      <c r="C174" s="398"/>
      <c r="D174" s="399"/>
      <c r="E174" s="396"/>
      <c r="F174" s="396"/>
      <c r="G174" s="385"/>
      <c r="H174" s="401" t="s">
        <v>3707</v>
      </c>
      <c r="I174" s="385" t="s">
        <v>971</v>
      </c>
      <c r="J174" s="489"/>
      <c r="K174" s="412"/>
      <c r="L174" s="412"/>
      <c r="M174" s="490" t="s">
        <v>813</v>
      </c>
      <c r="N174" s="404">
        <v>1920</v>
      </c>
    </row>
    <row r="175" spans="1:130" s="393" customFormat="1">
      <c r="A175" s="403" t="s">
        <v>327</v>
      </c>
      <c r="B175" s="403"/>
      <c r="C175" s="403"/>
      <c r="D175" s="403"/>
      <c r="E175" s="490"/>
      <c r="F175" s="385"/>
      <c r="G175" s="385"/>
      <c r="H175" s="539" t="s">
        <v>321</v>
      </c>
      <c r="I175" s="385"/>
      <c r="J175" s="489"/>
      <c r="K175" s="412"/>
      <c r="L175" s="412"/>
      <c r="M175" s="389"/>
      <c r="N175" s="389"/>
      <c r="O175" s="377"/>
      <c r="P175" s="377"/>
      <c r="Q175" s="377"/>
      <c r="R175" s="377"/>
      <c r="S175" s="377"/>
      <c r="T175" s="377"/>
      <c r="U175" s="377"/>
      <c r="V175" s="377"/>
      <c r="W175" s="377"/>
      <c r="X175" s="377"/>
      <c r="Y175" s="377"/>
      <c r="Z175" s="377"/>
      <c r="AA175" s="377"/>
      <c r="AB175" s="377"/>
      <c r="AC175" s="377"/>
      <c r="AD175" s="377"/>
      <c r="AE175" s="377"/>
      <c r="AF175" s="377"/>
      <c r="AG175" s="377"/>
      <c r="AH175" s="377"/>
      <c r="AI175" s="377"/>
      <c r="AJ175" s="377"/>
      <c r="AK175" s="377"/>
      <c r="AL175" s="377"/>
      <c r="AM175" s="377"/>
      <c r="AN175" s="377"/>
      <c r="AO175" s="377"/>
      <c r="AP175" s="377"/>
      <c r="AQ175" s="377"/>
      <c r="AR175" s="377"/>
      <c r="AS175" s="377"/>
      <c r="AT175" s="377"/>
      <c r="AU175" s="377"/>
      <c r="AV175" s="377"/>
      <c r="AW175" s="377"/>
      <c r="AX175" s="377"/>
      <c r="AY175" s="377"/>
      <c r="AZ175" s="377"/>
      <c r="BA175" s="377"/>
      <c r="BB175" s="377"/>
      <c r="BC175" s="377"/>
      <c r="BD175" s="377"/>
      <c r="BE175" s="377"/>
      <c r="BF175" s="377"/>
      <c r="BG175" s="377"/>
      <c r="BH175" s="377"/>
      <c r="BI175" s="377"/>
      <c r="BJ175" s="377"/>
      <c r="BK175" s="377"/>
      <c r="BL175" s="377"/>
      <c r="BM175" s="377"/>
      <c r="BN175" s="377"/>
      <c r="BO175" s="377"/>
      <c r="BP175" s="377"/>
      <c r="BQ175" s="377"/>
      <c r="BR175" s="377"/>
      <c r="BS175" s="377"/>
      <c r="BT175" s="377"/>
      <c r="BU175" s="377"/>
      <c r="BV175" s="377"/>
      <c r="BW175" s="377"/>
      <c r="BX175" s="377"/>
      <c r="BY175" s="377"/>
      <c r="BZ175" s="377"/>
      <c r="CA175" s="377"/>
      <c r="CB175" s="377"/>
      <c r="CC175" s="377"/>
      <c r="CD175" s="377"/>
      <c r="CE175" s="377"/>
      <c r="CF175" s="377"/>
      <c r="CG175" s="377"/>
      <c r="CH175" s="377"/>
      <c r="CI175" s="377"/>
      <c r="CJ175" s="377"/>
      <c r="CK175" s="377"/>
      <c r="CL175" s="377"/>
      <c r="CM175" s="377"/>
      <c r="CN175" s="377"/>
      <c r="CO175" s="377"/>
      <c r="CP175" s="377"/>
      <c r="CQ175" s="377"/>
      <c r="CR175" s="377"/>
      <c r="CS175" s="377"/>
      <c r="CT175" s="377"/>
      <c r="CU175" s="377"/>
      <c r="CV175" s="377"/>
      <c r="CW175" s="377"/>
      <c r="CX175" s="377"/>
      <c r="CY175" s="377"/>
      <c r="CZ175" s="377"/>
      <c r="DA175" s="377"/>
      <c r="DB175" s="377"/>
      <c r="DC175" s="377"/>
      <c r="DD175" s="377"/>
      <c r="DE175" s="377"/>
      <c r="DF175" s="377"/>
      <c r="DG175" s="377"/>
      <c r="DH175" s="377"/>
      <c r="DI175" s="377"/>
      <c r="DJ175" s="377"/>
      <c r="DK175" s="377"/>
      <c r="DL175" s="377"/>
      <c r="DM175" s="377"/>
      <c r="DN175" s="377"/>
      <c r="DO175" s="377"/>
      <c r="DP175" s="377"/>
      <c r="DQ175" s="377"/>
      <c r="DR175" s="377"/>
      <c r="DS175" s="377"/>
      <c r="DT175" s="377"/>
      <c r="DU175" s="377"/>
      <c r="DV175" s="377"/>
      <c r="DW175" s="377"/>
      <c r="DX175" s="377"/>
      <c r="DY175" s="377"/>
      <c r="DZ175" s="377"/>
    </row>
    <row r="176" spans="1:130" s="433" customFormat="1" outlineLevel="1" collapsed="1">
      <c r="A176" s="403" t="s">
        <v>839</v>
      </c>
      <c r="B176" s="403"/>
      <c r="C176" s="403"/>
      <c r="D176" s="403"/>
      <c r="E176" s="490"/>
      <c r="F176" s="385"/>
      <c r="G176" s="385"/>
      <c r="H176" s="539" t="s">
        <v>75</v>
      </c>
      <c r="I176" s="385"/>
      <c r="J176" s="489"/>
      <c r="K176" s="412"/>
      <c r="L176" s="412"/>
      <c r="M176" s="432"/>
      <c r="N176" s="432"/>
    </row>
    <row r="177" spans="1:130" s="407" customFormat="1" ht="99" hidden="1" customHeight="1" outlineLevel="2" collapsed="1">
      <c r="A177" s="489" t="s">
        <v>1266</v>
      </c>
      <c r="B177" s="490" t="s">
        <v>298</v>
      </c>
      <c r="C177" s="398" t="s">
        <v>392</v>
      </c>
      <c r="D177" s="399" t="s">
        <v>391</v>
      </c>
      <c r="E177" s="490" t="s">
        <v>1492</v>
      </c>
      <c r="F177" s="385" t="s">
        <v>303</v>
      </c>
      <c r="G177" s="385"/>
      <c r="H177" s="401" t="s">
        <v>1792</v>
      </c>
      <c r="I177" s="385" t="str">
        <f>CONCATENATE(I178," ",N178,M178," ",I179," ",N179,M179," ",I180," ",N180,M180," ",I181,N181," ",M181," ",I182," ",N182,M182," ",I183," ",N183,M183)</f>
        <v>Замена опор 9шт. Установка укоса 3шт. Замена траверс 1шт. Замена РЛНД2 шт. Демонтаж провода (по трассе) 0,648км Монтаж провода (по трассе) 0,648км</v>
      </c>
      <c r="J177" s="385" t="s">
        <v>365</v>
      </c>
      <c r="K177" s="450">
        <v>44228</v>
      </c>
      <c r="L177" s="450">
        <v>44255</v>
      </c>
      <c r="M177" s="540"/>
      <c r="N177" s="540"/>
      <c r="O177" s="406"/>
      <c r="P177" s="406"/>
      <c r="Q177" s="406"/>
      <c r="R177" s="406"/>
      <c r="S177" s="406"/>
      <c r="T177" s="406"/>
      <c r="U177" s="406"/>
      <c r="V177" s="406"/>
      <c r="W177" s="406"/>
      <c r="X177" s="406"/>
      <c r="Y177" s="406"/>
      <c r="Z177" s="406"/>
      <c r="AA177" s="406"/>
      <c r="AB177" s="406"/>
      <c r="AC177" s="406"/>
      <c r="AD177" s="406"/>
      <c r="AE177" s="406"/>
      <c r="AF177" s="406"/>
      <c r="AG177" s="406"/>
      <c r="AH177" s="406"/>
      <c r="AI177" s="406"/>
      <c r="AJ177" s="406"/>
      <c r="AK177" s="406"/>
      <c r="AL177" s="406"/>
      <c r="AM177" s="406"/>
      <c r="AN177" s="406"/>
      <c r="AO177" s="406"/>
      <c r="AP177" s="406"/>
      <c r="AQ177" s="406"/>
      <c r="AR177" s="406"/>
      <c r="AS177" s="406"/>
      <c r="AT177" s="406"/>
      <c r="AU177" s="406"/>
      <c r="AV177" s="406"/>
      <c r="AW177" s="406"/>
      <c r="AX177" s="406"/>
      <c r="AY177" s="406"/>
      <c r="AZ177" s="406"/>
      <c r="BA177" s="406"/>
      <c r="BB177" s="406"/>
      <c r="BC177" s="406"/>
      <c r="BD177" s="406"/>
      <c r="BE177" s="406"/>
      <c r="BF177" s="406"/>
      <c r="BG177" s="406"/>
      <c r="BH177" s="406"/>
      <c r="BI177" s="406"/>
      <c r="BJ177" s="406"/>
      <c r="BK177" s="406"/>
      <c r="BL177" s="406"/>
      <c r="BM177" s="406"/>
      <c r="BN177" s="406"/>
      <c r="BO177" s="406"/>
      <c r="BP177" s="406"/>
      <c r="BQ177" s="406"/>
      <c r="BR177" s="406"/>
      <c r="BS177" s="406"/>
      <c r="BT177" s="406"/>
      <c r="BU177" s="406"/>
      <c r="BV177" s="406"/>
      <c r="BW177" s="406"/>
      <c r="BX177" s="406"/>
      <c r="BY177" s="406"/>
      <c r="BZ177" s="406"/>
      <c r="CA177" s="406"/>
      <c r="CB177" s="406"/>
      <c r="CC177" s="406"/>
      <c r="CD177" s="406"/>
      <c r="CE177" s="406"/>
      <c r="CF177" s="406"/>
      <c r="CG177" s="406"/>
      <c r="CH177" s="406"/>
      <c r="CI177" s="406"/>
      <c r="CJ177" s="406"/>
      <c r="CK177" s="406"/>
      <c r="CL177" s="406"/>
      <c r="CM177" s="406"/>
      <c r="CN177" s="406"/>
      <c r="CO177" s="406"/>
      <c r="CP177" s="406"/>
      <c r="CQ177" s="406"/>
      <c r="CR177" s="406"/>
      <c r="CS177" s="406"/>
      <c r="CT177" s="406"/>
      <c r="CU177" s="406"/>
      <c r="CV177" s="406"/>
      <c r="CW177" s="406"/>
      <c r="CX177" s="406"/>
      <c r="CY177" s="406"/>
      <c r="CZ177" s="406"/>
      <c r="DA177" s="406"/>
      <c r="DB177" s="406"/>
      <c r="DC177" s="406"/>
      <c r="DD177" s="406"/>
      <c r="DE177" s="406"/>
      <c r="DF177" s="406"/>
      <c r="DG177" s="406"/>
      <c r="DH177" s="406"/>
      <c r="DI177" s="406"/>
      <c r="DJ177" s="406"/>
      <c r="DK177" s="406"/>
      <c r="DL177" s="406"/>
      <c r="DM177" s="406"/>
      <c r="DN177" s="406"/>
      <c r="DO177" s="406"/>
      <c r="DP177" s="406"/>
      <c r="DQ177" s="406"/>
      <c r="DR177" s="406"/>
      <c r="DS177" s="406"/>
      <c r="DT177" s="406"/>
      <c r="DU177" s="406"/>
      <c r="DV177" s="406"/>
      <c r="DW177" s="406"/>
      <c r="DX177" s="406"/>
      <c r="DY177" s="406"/>
      <c r="DZ177" s="406"/>
    </row>
    <row r="178" spans="1:130" s="492" customFormat="1" ht="141.75" hidden="1" outlineLevel="3">
      <c r="A178" s="438"/>
      <c r="B178" s="438" t="s">
        <v>298</v>
      </c>
      <c r="C178" s="438" t="s">
        <v>392</v>
      </c>
      <c r="D178" s="408" t="s">
        <v>391</v>
      </c>
      <c r="E178" s="385"/>
      <c r="F178" s="385"/>
      <c r="G178" s="385" t="s">
        <v>395</v>
      </c>
      <c r="H178" s="401" t="s">
        <v>393</v>
      </c>
      <c r="I178" s="385" t="s">
        <v>39</v>
      </c>
      <c r="J178" s="489"/>
      <c r="K178" s="412"/>
      <c r="L178" s="412"/>
      <c r="M178" s="490" t="s">
        <v>37</v>
      </c>
      <c r="N178" s="490">
        <v>9</v>
      </c>
    </row>
    <row r="179" spans="1:130" s="492" customFormat="1" ht="81" hidden="1" outlineLevel="3">
      <c r="A179" s="438"/>
      <c r="B179" s="438" t="s">
        <v>298</v>
      </c>
      <c r="C179" s="438" t="s">
        <v>392</v>
      </c>
      <c r="D179" s="408" t="s">
        <v>391</v>
      </c>
      <c r="E179" s="385"/>
      <c r="F179" s="385"/>
      <c r="G179" s="408" t="s">
        <v>396</v>
      </c>
      <c r="H179" s="401" t="s">
        <v>394</v>
      </c>
      <c r="I179" s="385" t="s">
        <v>103</v>
      </c>
      <c r="J179" s="489"/>
      <c r="K179" s="412"/>
      <c r="L179" s="412"/>
      <c r="M179" s="490" t="s">
        <v>37</v>
      </c>
      <c r="N179" s="490">
        <v>3</v>
      </c>
    </row>
    <row r="180" spans="1:130" s="492" customFormat="1" ht="81" hidden="1" outlineLevel="3">
      <c r="A180" s="438"/>
      <c r="B180" s="438" t="s">
        <v>298</v>
      </c>
      <c r="C180" s="438" t="s">
        <v>392</v>
      </c>
      <c r="D180" s="408" t="s">
        <v>391</v>
      </c>
      <c r="E180" s="385"/>
      <c r="F180" s="385"/>
      <c r="G180" s="408" t="s">
        <v>396</v>
      </c>
      <c r="H180" s="401" t="s">
        <v>1188</v>
      </c>
      <c r="I180" s="385" t="s">
        <v>177</v>
      </c>
      <c r="J180" s="489"/>
      <c r="K180" s="412"/>
      <c r="L180" s="412"/>
      <c r="M180" s="490" t="s">
        <v>37</v>
      </c>
      <c r="N180" s="490">
        <v>1</v>
      </c>
    </row>
    <row r="181" spans="1:130" s="492" customFormat="1" ht="162" hidden="1" outlineLevel="3">
      <c r="A181" s="438"/>
      <c r="B181" s="438" t="s">
        <v>298</v>
      </c>
      <c r="C181" s="438" t="s">
        <v>392</v>
      </c>
      <c r="D181" s="408" t="s">
        <v>391</v>
      </c>
      <c r="E181" s="385"/>
      <c r="F181" s="385"/>
      <c r="G181" s="385" t="s">
        <v>397</v>
      </c>
      <c r="H181" s="401" t="s">
        <v>398</v>
      </c>
      <c r="I181" s="385" t="s">
        <v>187</v>
      </c>
      <c r="J181" s="489"/>
      <c r="K181" s="412"/>
      <c r="L181" s="412"/>
      <c r="M181" s="490" t="s">
        <v>37</v>
      </c>
      <c r="N181" s="490">
        <v>2</v>
      </c>
    </row>
    <row r="182" spans="1:130" s="492" customFormat="1" ht="40.5" hidden="1" outlineLevel="3">
      <c r="A182" s="438"/>
      <c r="B182" s="490"/>
      <c r="C182" s="398"/>
      <c r="D182" s="399"/>
      <c r="E182" s="385"/>
      <c r="F182" s="385"/>
      <c r="G182" s="385" t="s">
        <v>400</v>
      </c>
      <c r="H182" s="401" t="s">
        <v>399</v>
      </c>
      <c r="I182" s="385" t="s">
        <v>126</v>
      </c>
      <c r="J182" s="489"/>
      <c r="K182" s="412"/>
      <c r="L182" s="412"/>
      <c r="M182" s="490" t="s">
        <v>308</v>
      </c>
      <c r="N182" s="490">
        <v>0.64800000000000002</v>
      </c>
    </row>
    <row r="183" spans="1:130" s="492" customFormat="1" ht="40.5" hidden="1" outlineLevel="3">
      <c r="A183" s="450"/>
      <c r="B183" s="490"/>
      <c r="C183" s="398"/>
      <c r="D183" s="399"/>
      <c r="E183" s="385"/>
      <c r="F183" s="385"/>
      <c r="G183" s="385"/>
      <c r="H183" s="401" t="s">
        <v>399</v>
      </c>
      <c r="I183" s="385" t="s">
        <v>40</v>
      </c>
      <c r="J183" s="489"/>
      <c r="K183" s="412"/>
      <c r="L183" s="412"/>
      <c r="M183" s="490" t="s">
        <v>308</v>
      </c>
      <c r="N183" s="490">
        <v>0.64800000000000002</v>
      </c>
    </row>
    <row r="184" spans="1:130" s="407" customFormat="1" ht="81" hidden="1" customHeight="1" outlineLevel="2" collapsed="1">
      <c r="A184" s="489" t="s">
        <v>1267</v>
      </c>
      <c r="B184" s="490" t="s">
        <v>298</v>
      </c>
      <c r="C184" s="398" t="s">
        <v>392</v>
      </c>
      <c r="D184" s="399" t="s">
        <v>391</v>
      </c>
      <c r="E184" s="490" t="s">
        <v>401</v>
      </c>
      <c r="F184" s="385" t="s">
        <v>303</v>
      </c>
      <c r="G184" s="385"/>
      <c r="H184" s="401" t="s">
        <v>1791</v>
      </c>
      <c r="I184" s="385" t="str">
        <f>CONCATENATE(I185," ",N185,M185," ",I186," ",N186,M186," ",I188,N188," ",M188," ",I189," ",N189,M189," ",I190," ",N190,M190," ",I187," ",N187,M187)</f>
        <v>Замена опор 16шт. Установка укоса 4шт. Замена РЛНД3 шт. Демонтаж провода (по трассе) 1,12км Монтаж провода (по трассе) 1,12км Установка опор 1шт.</v>
      </c>
      <c r="J184" s="385" t="s">
        <v>365</v>
      </c>
      <c r="K184" s="450">
        <v>44317</v>
      </c>
      <c r="L184" s="450">
        <v>44347</v>
      </c>
      <c r="M184" s="540"/>
      <c r="N184" s="540"/>
      <c r="O184" s="406"/>
      <c r="P184" s="406"/>
      <c r="Q184" s="406"/>
      <c r="R184" s="406"/>
      <c r="S184" s="406"/>
      <c r="T184" s="406"/>
      <c r="U184" s="406"/>
      <c r="V184" s="406"/>
      <c r="W184" s="406"/>
      <c r="X184" s="406"/>
      <c r="Y184" s="406"/>
      <c r="Z184" s="406"/>
      <c r="AA184" s="406"/>
      <c r="AB184" s="406"/>
      <c r="AC184" s="406"/>
      <c r="AD184" s="406"/>
      <c r="AE184" s="406"/>
      <c r="AF184" s="406"/>
      <c r="AG184" s="406"/>
      <c r="AH184" s="406"/>
      <c r="AI184" s="406"/>
      <c r="AJ184" s="406"/>
      <c r="AK184" s="406"/>
      <c r="AL184" s="406"/>
      <c r="AM184" s="406"/>
      <c r="AN184" s="406"/>
      <c r="AO184" s="406"/>
      <c r="AP184" s="406"/>
      <c r="AQ184" s="406"/>
      <c r="AR184" s="406"/>
      <c r="AS184" s="406"/>
      <c r="AT184" s="406"/>
      <c r="AU184" s="406"/>
      <c r="AV184" s="406"/>
      <c r="AW184" s="406"/>
      <c r="AX184" s="406"/>
      <c r="AY184" s="406"/>
      <c r="AZ184" s="406"/>
      <c r="BA184" s="406"/>
      <c r="BB184" s="406"/>
      <c r="BC184" s="406"/>
      <c r="BD184" s="406"/>
      <c r="BE184" s="406"/>
      <c r="BF184" s="406"/>
      <c r="BG184" s="406"/>
      <c r="BH184" s="406"/>
      <c r="BI184" s="406"/>
      <c r="BJ184" s="406"/>
      <c r="BK184" s="406"/>
      <c r="BL184" s="406"/>
      <c r="BM184" s="406"/>
      <c r="BN184" s="406"/>
      <c r="BO184" s="406"/>
      <c r="BP184" s="406"/>
      <c r="BQ184" s="406"/>
      <c r="BR184" s="406"/>
      <c r="BS184" s="406"/>
      <c r="BT184" s="406"/>
      <c r="BU184" s="406"/>
      <c r="BV184" s="406"/>
      <c r="BW184" s="406"/>
      <c r="BX184" s="406"/>
      <c r="BY184" s="406"/>
      <c r="BZ184" s="406"/>
      <c r="CA184" s="406"/>
      <c r="CB184" s="406"/>
      <c r="CC184" s="406"/>
      <c r="CD184" s="406"/>
      <c r="CE184" s="406"/>
      <c r="CF184" s="406"/>
      <c r="CG184" s="406"/>
      <c r="CH184" s="406"/>
      <c r="CI184" s="406"/>
      <c r="CJ184" s="406"/>
      <c r="CK184" s="406"/>
      <c r="CL184" s="406"/>
      <c r="CM184" s="406"/>
      <c r="CN184" s="406"/>
      <c r="CO184" s="406"/>
      <c r="CP184" s="406"/>
      <c r="CQ184" s="406"/>
      <c r="CR184" s="406"/>
      <c r="CS184" s="406"/>
      <c r="CT184" s="406"/>
      <c r="CU184" s="406"/>
      <c r="CV184" s="406"/>
      <c r="CW184" s="406"/>
      <c r="CX184" s="406"/>
      <c r="CY184" s="406"/>
      <c r="CZ184" s="406"/>
      <c r="DA184" s="406"/>
      <c r="DB184" s="406"/>
      <c r="DC184" s="406"/>
      <c r="DD184" s="406"/>
      <c r="DE184" s="406"/>
      <c r="DF184" s="406"/>
      <c r="DG184" s="406"/>
      <c r="DH184" s="406"/>
      <c r="DI184" s="406"/>
      <c r="DJ184" s="406"/>
      <c r="DK184" s="406"/>
      <c r="DL184" s="406"/>
      <c r="DM184" s="406"/>
      <c r="DN184" s="406"/>
      <c r="DO184" s="406"/>
      <c r="DP184" s="406"/>
      <c r="DQ184" s="406"/>
      <c r="DR184" s="406"/>
      <c r="DS184" s="406"/>
      <c r="DT184" s="406"/>
      <c r="DU184" s="406"/>
      <c r="DV184" s="406"/>
      <c r="DW184" s="406"/>
      <c r="DX184" s="406"/>
      <c r="DY184" s="406"/>
      <c r="DZ184" s="406"/>
    </row>
    <row r="185" spans="1:130" s="492" customFormat="1" ht="114" hidden="1" customHeight="1" outlineLevel="3">
      <c r="A185" s="438"/>
      <c r="B185" s="438" t="s">
        <v>298</v>
      </c>
      <c r="C185" s="438" t="s">
        <v>392</v>
      </c>
      <c r="D185" s="408" t="s">
        <v>391</v>
      </c>
      <c r="E185" s="385"/>
      <c r="F185" s="385"/>
      <c r="G185" s="385" t="s">
        <v>403</v>
      </c>
      <c r="H185" s="401" t="s">
        <v>402</v>
      </c>
      <c r="I185" s="385" t="s">
        <v>39</v>
      </c>
      <c r="J185" s="489"/>
      <c r="K185" s="412"/>
      <c r="L185" s="412"/>
      <c r="M185" s="490" t="s">
        <v>37</v>
      </c>
      <c r="N185" s="490">
        <v>16</v>
      </c>
    </row>
    <row r="186" spans="1:130" s="492" customFormat="1" ht="51" hidden="1" customHeight="1" outlineLevel="3">
      <c r="A186" s="438"/>
      <c r="B186" s="438" t="s">
        <v>298</v>
      </c>
      <c r="C186" s="438" t="s">
        <v>392</v>
      </c>
      <c r="D186" s="408" t="s">
        <v>391</v>
      </c>
      <c r="E186" s="385"/>
      <c r="F186" s="385"/>
      <c r="G186" s="409"/>
      <c r="H186" s="401" t="s">
        <v>1189</v>
      </c>
      <c r="I186" s="385" t="s">
        <v>103</v>
      </c>
      <c r="J186" s="489"/>
      <c r="K186" s="412"/>
      <c r="L186" s="412"/>
      <c r="M186" s="490" t="s">
        <v>37</v>
      </c>
      <c r="N186" s="490">
        <v>4</v>
      </c>
    </row>
    <row r="187" spans="1:130" s="492" customFormat="1" ht="182.25" hidden="1" outlineLevel="3">
      <c r="A187" s="438"/>
      <c r="B187" s="438" t="s">
        <v>298</v>
      </c>
      <c r="C187" s="438" t="s">
        <v>392</v>
      </c>
      <c r="D187" s="408" t="s">
        <v>391</v>
      </c>
      <c r="E187" s="385"/>
      <c r="F187" s="385"/>
      <c r="G187" s="385" t="s">
        <v>405</v>
      </c>
      <c r="H187" s="401" t="s">
        <v>404</v>
      </c>
      <c r="I187" s="385" t="s">
        <v>123</v>
      </c>
      <c r="J187" s="489"/>
      <c r="K187" s="412"/>
      <c r="L187" s="412"/>
      <c r="M187" s="490" t="s">
        <v>37</v>
      </c>
      <c r="N187" s="490">
        <v>1</v>
      </c>
    </row>
    <row r="188" spans="1:130" s="492" customFormat="1" ht="108" hidden="1" customHeight="1" outlineLevel="3">
      <c r="A188" s="438"/>
      <c r="B188" s="438" t="s">
        <v>298</v>
      </c>
      <c r="C188" s="438" t="s">
        <v>392</v>
      </c>
      <c r="D188" s="408" t="s">
        <v>391</v>
      </c>
      <c r="E188" s="385"/>
      <c r="F188" s="385"/>
      <c r="G188" s="385" t="s">
        <v>397</v>
      </c>
      <c r="H188" s="401" t="s">
        <v>406</v>
      </c>
      <c r="I188" s="385" t="s">
        <v>187</v>
      </c>
      <c r="J188" s="489"/>
      <c r="K188" s="412"/>
      <c r="L188" s="412"/>
      <c r="M188" s="490" t="s">
        <v>37</v>
      </c>
      <c r="N188" s="490">
        <v>3</v>
      </c>
    </row>
    <row r="189" spans="1:130" s="492" customFormat="1" ht="40.5" hidden="1" outlineLevel="3">
      <c r="A189" s="438"/>
      <c r="B189" s="490"/>
      <c r="C189" s="398"/>
      <c r="D189" s="399"/>
      <c r="E189" s="385"/>
      <c r="F189" s="385"/>
      <c r="G189" s="385" t="s">
        <v>400</v>
      </c>
      <c r="H189" s="401" t="s">
        <v>407</v>
      </c>
      <c r="I189" s="385" t="s">
        <v>126</v>
      </c>
      <c r="J189" s="489"/>
      <c r="K189" s="412"/>
      <c r="L189" s="412"/>
      <c r="M189" s="490" t="s">
        <v>308</v>
      </c>
      <c r="N189" s="490">
        <v>1.1200000000000001</v>
      </c>
    </row>
    <row r="190" spans="1:130" s="492" customFormat="1" hidden="1" outlineLevel="3">
      <c r="A190" s="450"/>
      <c r="B190" s="490"/>
      <c r="C190" s="398"/>
      <c r="D190" s="399"/>
      <c r="E190" s="385"/>
      <c r="F190" s="385"/>
      <c r="G190" s="385"/>
      <c r="H190" s="401" t="s">
        <v>407</v>
      </c>
      <c r="I190" s="385" t="s">
        <v>40</v>
      </c>
      <c r="J190" s="489"/>
      <c r="K190" s="412"/>
      <c r="L190" s="412"/>
      <c r="M190" s="490" t="s">
        <v>308</v>
      </c>
      <c r="N190" s="490">
        <v>1.1200000000000001</v>
      </c>
    </row>
    <row r="191" spans="1:130" s="407" customFormat="1" ht="81" hidden="1" customHeight="1" outlineLevel="2" collapsed="1">
      <c r="A191" s="489" t="s">
        <v>1268</v>
      </c>
      <c r="B191" s="490" t="s">
        <v>298</v>
      </c>
      <c r="C191" s="398" t="s">
        <v>408</v>
      </c>
      <c r="D191" s="399" t="s">
        <v>391</v>
      </c>
      <c r="E191" s="490" t="s">
        <v>3708</v>
      </c>
      <c r="F191" s="385" t="s">
        <v>1217</v>
      </c>
      <c r="G191" s="385" t="s">
        <v>1218</v>
      </c>
      <c r="H191" s="401" t="s">
        <v>1219</v>
      </c>
      <c r="I191" s="385" t="str">
        <f>CONCATENATE(I192," ",N192,M192," ",I193," ",N193,M193)</f>
        <v>Выправка опор 10шт. Ручная расчистка  2,66га</v>
      </c>
      <c r="J191" s="385" t="s">
        <v>365</v>
      </c>
      <c r="K191" s="450">
        <v>44348</v>
      </c>
      <c r="L191" s="450">
        <v>44500</v>
      </c>
      <c r="M191" s="540"/>
      <c r="N191" s="540"/>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6"/>
      <c r="AY191" s="406"/>
      <c r="AZ191" s="406"/>
      <c r="BA191" s="406"/>
      <c r="BB191" s="406"/>
      <c r="BC191" s="406"/>
      <c r="BD191" s="406"/>
      <c r="BE191" s="406"/>
      <c r="BF191" s="406"/>
      <c r="BG191" s="406"/>
      <c r="BH191" s="406"/>
      <c r="BI191" s="406"/>
      <c r="BJ191" s="406"/>
      <c r="BK191" s="406"/>
      <c r="BL191" s="406"/>
      <c r="BM191" s="406"/>
      <c r="BN191" s="406"/>
      <c r="BO191" s="406"/>
      <c r="BP191" s="406"/>
      <c r="BQ191" s="406"/>
      <c r="BR191" s="406"/>
      <c r="BS191" s="406"/>
      <c r="BT191" s="406"/>
      <c r="BU191" s="406"/>
      <c r="BV191" s="406"/>
      <c r="BW191" s="406"/>
      <c r="BX191" s="406"/>
      <c r="BY191" s="406"/>
      <c r="BZ191" s="406"/>
      <c r="CA191" s="406"/>
      <c r="CB191" s="406"/>
      <c r="CC191" s="406"/>
      <c r="CD191" s="406"/>
      <c r="CE191" s="406"/>
      <c r="CF191" s="406"/>
      <c r="CG191" s="406"/>
      <c r="CH191" s="406"/>
      <c r="CI191" s="406"/>
      <c r="CJ191" s="406"/>
      <c r="CK191" s="406"/>
      <c r="CL191" s="406"/>
      <c r="CM191" s="406"/>
      <c r="CN191" s="406"/>
      <c r="CO191" s="406"/>
      <c r="CP191" s="406"/>
      <c r="CQ191" s="406"/>
      <c r="CR191" s="406"/>
      <c r="CS191" s="406"/>
      <c r="CT191" s="406"/>
      <c r="CU191" s="406"/>
      <c r="CV191" s="406"/>
      <c r="CW191" s="406"/>
      <c r="CX191" s="406"/>
      <c r="CY191" s="406"/>
      <c r="CZ191" s="406"/>
      <c r="DA191" s="406"/>
      <c r="DB191" s="406"/>
      <c r="DC191" s="406"/>
      <c r="DD191" s="406"/>
      <c r="DE191" s="406"/>
      <c r="DF191" s="406"/>
      <c r="DG191" s="406"/>
      <c r="DH191" s="406"/>
      <c r="DI191" s="406"/>
      <c r="DJ191" s="406"/>
      <c r="DK191" s="406"/>
      <c r="DL191" s="406"/>
      <c r="DM191" s="406"/>
      <c r="DN191" s="406"/>
      <c r="DO191" s="406"/>
      <c r="DP191" s="406"/>
      <c r="DQ191" s="406"/>
      <c r="DR191" s="406"/>
      <c r="DS191" s="406"/>
      <c r="DT191" s="406"/>
      <c r="DU191" s="406"/>
      <c r="DV191" s="406"/>
      <c r="DW191" s="406"/>
      <c r="DX191" s="406"/>
      <c r="DY191" s="406"/>
      <c r="DZ191" s="406"/>
    </row>
    <row r="192" spans="1:130" s="492" customFormat="1" ht="40.5" hidden="1" outlineLevel="3">
      <c r="A192" s="438"/>
      <c r="B192" s="438" t="s">
        <v>298</v>
      </c>
      <c r="C192" s="438" t="s">
        <v>408</v>
      </c>
      <c r="D192" s="408" t="s">
        <v>391</v>
      </c>
      <c r="E192" s="385"/>
      <c r="F192" s="385"/>
      <c r="G192" s="385" t="s">
        <v>411</v>
      </c>
      <c r="H192" s="401" t="s">
        <v>412</v>
      </c>
      <c r="I192" s="385" t="s">
        <v>167</v>
      </c>
      <c r="J192" s="489"/>
      <c r="K192" s="412"/>
      <c r="L192" s="412"/>
      <c r="M192" s="490" t="s">
        <v>37</v>
      </c>
      <c r="N192" s="490">
        <v>10</v>
      </c>
    </row>
    <row r="193" spans="1:130" s="492" customFormat="1" ht="101.25" hidden="1" outlineLevel="3">
      <c r="A193" s="438"/>
      <c r="B193" s="438" t="s">
        <v>298</v>
      </c>
      <c r="C193" s="438" t="s">
        <v>408</v>
      </c>
      <c r="D193" s="408" t="s">
        <v>391</v>
      </c>
      <c r="E193" s="385"/>
      <c r="F193" s="385"/>
      <c r="G193" s="430" t="s">
        <v>413</v>
      </c>
      <c r="H193" s="401" t="s">
        <v>414</v>
      </c>
      <c r="I193" s="385" t="s">
        <v>409</v>
      </c>
      <c r="J193" s="489"/>
      <c r="K193" s="412"/>
      <c r="L193" s="412"/>
      <c r="M193" s="490" t="s">
        <v>117</v>
      </c>
      <c r="N193" s="424">
        <v>2.66</v>
      </c>
    </row>
    <row r="194" spans="1:130" s="407" customFormat="1" ht="81" hidden="1" customHeight="1" outlineLevel="2" collapsed="1">
      <c r="A194" s="489" t="s">
        <v>1269</v>
      </c>
      <c r="B194" s="490" t="s">
        <v>298</v>
      </c>
      <c r="C194" s="398" t="s">
        <v>408</v>
      </c>
      <c r="D194" s="399" t="s">
        <v>391</v>
      </c>
      <c r="E194" s="490" t="s">
        <v>415</v>
      </c>
      <c r="F194" s="385" t="s">
        <v>1217</v>
      </c>
      <c r="G194" s="385" t="s">
        <v>1218</v>
      </c>
      <c r="H194" s="401" t="s">
        <v>1723</v>
      </c>
      <c r="I194" s="385" t="str">
        <f>CONCATENATE(I195," ",N195,M195)</f>
        <v>Замена опор 2шт.</v>
      </c>
      <c r="J194" s="385" t="s">
        <v>365</v>
      </c>
      <c r="K194" s="450">
        <v>44501</v>
      </c>
      <c r="L194" s="450">
        <v>44530</v>
      </c>
      <c r="M194" s="540"/>
      <c r="N194" s="540"/>
      <c r="O194" s="406"/>
      <c r="P194" s="406"/>
      <c r="Q194" s="406"/>
      <c r="R194" s="406"/>
      <c r="S194" s="406"/>
      <c r="T194" s="406"/>
      <c r="U194" s="406"/>
      <c r="V194" s="406"/>
      <c r="W194" s="406"/>
      <c r="X194" s="406"/>
      <c r="Y194" s="406"/>
      <c r="Z194" s="406"/>
      <c r="AA194" s="406"/>
      <c r="AB194" s="406"/>
      <c r="AC194" s="406"/>
      <c r="AD194" s="406"/>
      <c r="AE194" s="406"/>
      <c r="AF194" s="406"/>
      <c r="AG194" s="406"/>
      <c r="AH194" s="406"/>
      <c r="AI194" s="406"/>
      <c r="AJ194" s="406"/>
      <c r="AK194" s="406"/>
      <c r="AL194" s="406"/>
      <c r="AM194" s="406"/>
      <c r="AN194" s="406"/>
      <c r="AO194" s="406"/>
      <c r="AP194" s="406"/>
      <c r="AQ194" s="406"/>
      <c r="AR194" s="406"/>
      <c r="AS194" s="406"/>
      <c r="AT194" s="406"/>
      <c r="AU194" s="406"/>
      <c r="AV194" s="406"/>
      <c r="AW194" s="406"/>
      <c r="AX194" s="406"/>
      <c r="AY194" s="406"/>
      <c r="AZ194" s="406"/>
      <c r="BA194" s="406"/>
      <c r="BB194" s="406"/>
      <c r="BC194" s="406"/>
      <c r="BD194" s="406"/>
      <c r="BE194" s="406"/>
      <c r="BF194" s="406"/>
      <c r="BG194" s="406"/>
      <c r="BH194" s="406"/>
      <c r="BI194" s="406"/>
      <c r="BJ194" s="406"/>
      <c r="BK194" s="406"/>
      <c r="BL194" s="406"/>
      <c r="BM194" s="406"/>
      <c r="BN194" s="406"/>
      <c r="BO194" s="406"/>
      <c r="BP194" s="406"/>
      <c r="BQ194" s="406"/>
      <c r="BR194" s="406"/>
      <c r="BS194" s="406"/>
      <c r="BT194" s="406"/>
      <c r="BU194" s="406"/>
      <c r="BV194" s="406"/>
      <c r="BW194" s="406"/>
      <c r="BX194" s="406"/>
      <c r="BY194" s="406"/>
      <c r="BZ194" s="406"/>
      <c r="CA194" s="406"/>
      <c r="CB194" s="406"/>
      <c r="CC194" s="406"/>
      <c r="CD194" s="406"/>
      <c r="CE194" s="406"/>
      <c r="CF194" s="406"/>
      <c r="CG194" s="406"/>
      <c r="CH194" s="406"/>
      <c r="CI194" s="406"/>
      <c r="CJ194" s="406"/>
      <c r="CK194" s="406"/>
      <c r="CL194" s="406"/>
      <c r="CM194" s="406"/>
      <c r="CN194" s="406"/>
      <c r="CO194" s="406"/>
      <c r="CP194" s="406"/>
      <c r="CQ194" s="406"/>
      <c r="CR194" s="406"/>
      <c r="CS194" s="406"/>
      <c r="CT194" s="406"/>
      <c r="CU194" s="406"/>
      <c r="CV194" s="406"/>
      <c r="CW194" s="406"/>
      <c r="CX194" s="406"/>
      <c r="CY194" s="406"/>
      <c r="CZ194" s="406"/>
      <c r="DA194" s="406"/>
      <c r="DB194" s="406"/>
      <c r="DC194" s="406"/>
      <c r="DD194" s="406"/>
      <c r="DE194" s="406"/>
      <c r="DF194" s="406"/>
      <c r="DG194" s="406"/>
      <c r="DH194" s="406"/>
      <c r="DI194" s="406"/>
      <c r="DJ194" s="406"/>
      <c r="DK194" s="406"/>
      <c r="DL194" s="406"/>
      <c r="DM194" s="406"/>
      <c r="DN194" s="406"/>
      <c r="DO194" s="406"/>
      <c r="DP194" s="406"/>
      <c r="DQ194" s="406"/>
      <c r="DR194" s="406"/>
      <c r="DS194" s="406"/>
      <c r="DT194" s="406"/>
      <c r="DU194" s="406"/>
      <c r="DV194" s="406"/>
      <c r="DW194" s="406"/>
      <c r="DX194" s="406"/>
      <c r="DY194" s="406"/>
      <c r="DZ194" s="406"/>
    </row>
    <row r="195" spans="1:130" s="492" customFormat="1" ht="60.75" hidden="1" outlineLevel="3">
      <c r="A195" s="438"/>
      <c r="B195" s="438" t="s">
        <v>298</v>
      </c>
      <c r="C195" s="438" t="s">
        <v>408</v>
      </c>
      <c r="D195" s="408" t="s">
        <v>391</v>
      </c>
      <c r="E195" s="385"/>
      <c r="F195" s="385"/>
      <c r="G195" s="385" t="s">
        <v>417</v>
      </c>
      <c r="H195" s="401" t="s">
        <v>416</v>
      </c>
      <c r="I195" s="385" t="s">
        <v>39</v>
      </c>
      <c r="J195" s="489"/>
      <c r="K195" s="412"/>
      <c r="L195" s="412"/>
      <c r="M195" s="490" t="s">
        <v>37</v>
      </c>
      <c r="N195" s="490">
        <v>2</v>
      </c>
    </row>
    <row r="196" spans="1:130" s="407" customFormat="1" ht="81" hidden="1" customHeight="1" outlineLevel="2" collapsed="1">
      <c r="A196" s="489" t="s">
        <v>1270</v>
      </c>
      <c r="B196" s="490" t="s">
        <v>298</v>
      </c>
      <c r="C196" s="398" t="s">
        <v>408</v>
      </c>
      <c r="D196" s="399" t="s">
        <v>391</v>
      </c>
      <c r="E196" s="490" t="s">
        <v>418</v>
      </c>
      <c r="F196" s="385" t="s">
        <v>303</v>
      </c>
      <c r="G196" s="385"/>
      <c r="H196" s="401" t="s">
        <v>1220</v>
      </c>
      <c r="I196" s="385" t="str">
        <f>CONCATENATE(I197," ",N197,M197," ",I198," ",N198,M198,," ",I199," ",N199,M199)</f>
        <v>Замена опор 2шт. Ручная расчистка  8,54га Выправка опор 7шт.</v>
      </c>
      <c r="J196" s="385" t="s">
        <v>365</v>
      </c>
      <c r="K196" s="450">
        <v>44256</v>
      </c>
      <c r="L196" s="450">
        <v>44408</v>
      </c>
      <c r="M196" s="540"/>
      <c r="N196" s="540"/>
      <c r="O196" s="406"/>
      <c r="P196" s="406"/>
      <c r="Q196" s="406"/>
      <c r="R196" s="406"/>
      <c r="S196" s="406"/>
      <c r="T196" s="406"/>
      <c r="U196" s="406"/>
      <c r="V196" s="406"/>
      <c r="W196" s="406"/>
      <c r="X196" s="406"/>
      <c r="Y196" s="406"/>
      <c r="Z196" s="406"/>
      <c r="AA196" s="406"/>
      <c r="AB196" s="406"/>
      <c r="AC196" s="406"/>
      <c r="AD196" s="406"/>
      <c r="AE196" s="406"/>
      <c r="AF196" s="406"/>
      <c r="AG196" s="406"/>
      <c r="AH196" s="406"/>
      <c r="AI196" s="406"/>
      <c r="AJ196" s="406"/>
      <c r="AK196" s="406"/>
      <c r="AL196" s="406"/>
      <c r="AM196" s="406"/>
      <c r="AN196" s="406"/>
      <c r="AO196" s="406"/>
      <c r="AP196" s="406"/>
      <c r="AQ196" s="406"/>
      <c r="AR196" s="406"/>
      <c r="AS196" s="406"/>
      <c r="AT196" s="406"/>
      <c r="AU196" s="406"/>
      <c r="AV196" s="406"/>
      <c r="AW196" s="406"/>
      <c r="AX196" s="406"/>
      <c r="AY196" s="406"/>
      <c r="AZ196" s="406"/>
      <c r="BA196" s="406"/>
      <c r="BB196" s="406"/>
      <c r="BC196" s="406"/>
      <c r="BD196" s="406"/>
      <c r="BE196" s="406"/>
      <c r="BF196" s="406"/>
      <c r="BG196" s="406"/>
      <c r="BH196" s="406"/>
      <c r="BI196" s="406"/>
      <c r="BJ196" s="406"/>
      <c r="BK196" s="406"/>
      <c r="BL196" s="406"/>
      <c r="BM196" s="406"/>
      <c r="BN196" s="406"/>
      <c r="BO196" s="406"/>
      <c r="BP196" s="406"/>
      <c r="BQ196" s="406"/>
      <c r="BR196" s="406"/>
      <c r="BS196" s="406"/>
      <c r="BT196" s="406"/>
      <c r="BU196" s="406"/>
      <c r="BV196" s="406"/>
      <c r="BW196" s="406"/>
      <c r="BX196" s="406"/>
      <c r="BY196" s="406"/>
      <c r="BZ196" s="406"/>
      <c r="CA196" s="406"/>
      <c r="CB196" s="406"/>
      <c r="CC196" s="406"/>
      <c r="CD196" s="406"/>
      <c r="CE196" s="406"/>
      <c r="CF196" s="406"/>
      <c r="CG196" s="406"/>
      <c r="CH196" s="406"/>
      <c r="CI196" s="406"/>
      <c r="CJ196" s="406"/>
      <c r="CK196" s="406"/>
      <c r="CL196" s="406"/>
      <c r="CM196" s="406"/>
      <c r="CN196" s="406"/>
      <c r="CO196" s="406"/>
      <c r="CP196" s="406"/>
      <c r="CQ196" s="406"/>
      <c r="CR196" s="406"/>
      <c r="CS196" s="406"/>
      <c r="CT196" s="406"/>
      <c r="CU196" s="406"/>
      <c r="CV196" s="406"/>
      <c r="CW196" s="406"/>
      <c r="CX196" s="406"/>
      <c r="CY196" s="406"/>
      <c r="CZ196" s="406"/>
      <c r="DA196" s="406"/>
      <c r="DB196" s="406"/>
      <c r="DC196" s="406"/>
      <c r="DD196" s="406"/>
      <c r="DE196" s="406"/>
      <c r="DF196" s="406"/>
      <c r="DG196" s="406"/>
      <c r="DH196" s="406"/>
      <c r="DI196" s="406"/>
      <c r="DJ196" s="406"/>
      <c r="DK196" s="406"/>
      <c r="DL196" s="406"/>
      <c r="DM196" s="406"/>
      <c r="DN196" s="406"/>
      <c r="DO196" s="406"/>
      <c r="DP196" s="406"/>
      <c r="DQ196" s="406"/>
      <c r="DR196" s="406"/>
      <c r="DS196" s="406"/>
      <c r="DT196" s="406"/>
      <c r="DU196" s="406"/>
      <c r="DV196" s="406"/>
      <c r="DW196" s="406"/>
      <c r="DX196" s="406"/>
      <c r="DY196" s="406"/>
      <c r="DZ196" s="406"/>
    </row>
    <row r="197" spans="1:130" s="492" customFormat="1" ht="60.75" hidden="1" outlineLevel="3">
      <c r="A197" s="438"/>
      <c r="B197" s="438" t="s">
        <v>298</v>
      </c>
      <c r="C197" s="438" t="s">
        <v>408</v>
      </c>
      <c r="D197" s="408" t="s">
        <v>391</v>
      </c>
      <c r="E197" s="385"/>
      <c r="F197" s="385"/>
      <c r="G197" s="385" t="s">
        <v>417</v>
      </c>
      <c r="H197" s="401" t="s">
        <v>419</v>
      </c>
      <c r="I197" s="385" t="s">
        <v>39</v>
      </c>
      <c r="J197" s="489"/>
      <c r="K197" s="412"/>
      <c r="L197" s="412"/>
      <c r="M197" s="490" t="s">
        <v>37</v>
      </c>
      <c r="N197" s="490">
        <v>2</v>
      </c>
    </row>
    <row r="198" spans="1:130" s="492" customFormat="1" ht="130.5" hidden="1" customHeight="1" outlineLevel="3">
      <c r="A198" s="438"/>
      <c r="B198" s="438" t="s">
        <v>298</v>
      </c>
      <c r="C198" s="438" t="s">
        <v>408</v>
      </c>
      <c r="D198" s="408" t="s">
        <v>391</v>
      </c>
      <c r="E198" s="385"/>
      <c r="F198" s="385"/>
      <c r="G198" s="430" t="s">
        <v>413</v>
      </c>
      <c r="H198" s="401" t="s">
        <v>420</v>
      </c>
      <c r="I198" s="385" t="s">
        <v>409</v>
      </c>
      <c r="J198" s="489"/>
      <c r="K198" s="412"/>
      <c r="L198" s="412"/>
      <c r="M198" s="490" t="s">
        <v>117</v>
      </c>
      <c r="N198" s="424">
        <v>8.5399999999999991</v>
      </c>
    </row>
    <row r="199" spans="1:130" s="492" customFormat="1" ht="40.5" hidden="1" outlineLevel="3">
      <c r="A199" s="438"/>
      <c r="B199" s="438" t="s">
        <v>298</v>
      </c>
      <c r="C199" s="438" t="s">
        <v>408</v>
      </c>
      <c r="D199" s="408" t="s">
        <v>391</v>
      </c>
      <c r="E199" s="385"/>
      <c r="F199" s="385"/>
      <c r="G199" s="385" t="s">
        <v>410</v>
      </c>
      <c r="H199" s="401" t="s">
        <v>421</v>
      </c>
      <c r="I199" s="385" t="s">
        <v>167</v>
      </c>
      <c r="J199" s="489"/>
      <c r="K199" s="412"/>
      <c r="L199" s="412"/>
      <c r="M199" s="490" t="s">
        <v>37</v>
      </c>
      <c r="N199" s="486">
        <v>7</v>
      </c>
    </row>
    <row r="200" spans="1:130" s="407" customFormat="1" ht="81" hidden="1" customHeight="1" outlineLevel="2" collapsed="1">
      <c r="A200" s="489" t="s">
        <v>1271</v>
      </c>
      <c r="B200" s="490" t="s">
        <v>298</v>
      </c>
      <c r="C200" s="398" t="s">
        <v>408</v>
      </c>
      <c r="D200" s="399" t="s">
        <v>391</v>
      </c>
      <c r="E200" s="490" t="s">
        <v>1496</v>
      </c>
      <c r="F200" s="385" t="s">
        <v>303</v>
      </c>
      <c r="G200" s="385"/>
      <c r="H200" s="401" t="s">
        <v>1221</v>
      </c>
      <c r="I200" s="385" t="str">
        <f>CONCATENATE(I201," ",N201,M201," ",I202," ",N202,M202,," ",I203," ",N203,M203)</f>
        <v>обрезка крон деревьев 56шт. Ручная расчистка  0,72га Вырубка угрожающих деревьев 20шт.</v>
      </c>
      <c r="J200" s="385" t="s">
        <v>365</v>
      </c>
      <c r="K200" s="450">
        <v>44228</v>
      </c>
      <c r="L200" s="450">
        <v>44255</v>
      </c>
      <c r="M200" s="540"/>
      <c r="N200" s="540"/>
      <c r="O200" s="406"/>
      <c r="P200" s="406"/>
      <c r="Q200" s="406"/>
      <c r="R200" s="406"/>
      <c r="S200" s="406"/>
      <c r="T200" s="406"/>
      <c r="U200" s="406"/>
      <c r="V200" s="406"/>
      <c r="W200" s="406"/>
      <c r="X200" s="406"/>
      <c r="Y200" s="406"/>
      <c r="Z200" s="406"/>
      <c r="AA200" s="406"/>
      <c r="AB200" s="406"/>
      <c r="AC200" s="406"/>
      <c r="AD200" s="406"/>
      <c r="AE200" s="406"/>
      <c r="AF200" s="406"/>
      <c r="AG200" s="406"/>
      <c r="AH200" s="406"/>
      <c r="AI200" s="406"/>
      <c r="AJ200" s="406"/>
      <c r="AK200" s="406"/>
      <c r="AL200" s="406"/>
      <c r="AM200" s="406"/>
      <c r="AN200" s="406"/>
      <c r="AO200" s="406"/>
      <c r="AP200" s="406"/>
      <c r="AQ200" s="406"/>
      <c r="AR200" s="406"/>
      <c r="AS200" s="406"/>
      <c r="AT200" s="406"/>
      <c r="AU200" s="406"/>
      <c r="AV200" s="406"/>
      <c r="AW200" s="406"/>
      <c r="AX200" s="406"/>
      <c r="AY200" s="406"/>
      <c r="AZ200" s="406"/>
      <c r="BA200" s="406"/>
      <c r="BB200" s="406"/>
      <c r="BC200" s="406"/>
      <c r="BD200" s="406"/>
      <c r="BE200" s="406"/>
      <c r="BF200" s="406"/>
      <c r="BG200" s="406"/>
      <c r="BH200" s="406"/>
      <c r="BI200" s="406"/>
      <c r="BJ200" s="406"/>
      <c r="BK200" s="406"/>
      <c r="BL200" s="406"/>
      <c r="BM200" s="406"/>
      <c r="BN200" s="406"/>
      <c r="BO200" s="406"/>
      <c r="BP200" s="406"/>
      <c r="BQ200" s="406"/>
      <c r="BR200" s="406"/>
      <c r="BS200" s="406"/>
      <c r="BT200" s="406"/>
      <c r="BU200" s="406"/>
      <c r="BV200" s="406"/>
      <c r="BW200" s="406"/>
      <c r="BX200" s="406"/>
      <c r="BY200" s="406"/>
      <c r="BZ200" s="406"/>
      <c r="CA200" s="406"/>
      <c r="CB200" s="406"/>
      <c r="CC200" s="406"/>
      <c r="CD200" s="406"/>
      <c r="CE200" s="406"/>
      <c r="CF200" s="406"/>
      <c r="CG200" s="406"/>
      <c r="CH200" s="406"/>
      <c r="CI200" s="406"/>
      <c r="CJ200" s="406"/>
      <c r="CK200" s="406"/>
      <c r="CL200" s="406"/>
      <c r="CM200" s="406"/>
      <c r="CN200" s="406"/>
      <c r="CO200" s="406"/>
      <c r="CP200" s="406"/>
      <c r="CQ200" s="406"/>
      <c r="CR200" s="406"/>
      <c r="CS200" s="406"/>
      <c r="CT200" s="406"/>
      <c r="CU200" s="406"/>
      <c r="CV200" s="406"/>
      <c r="CW200" s="406"/>
      <c r="CX200" s="406"/>
      <c r="CY200" s="406"/>
      <c r="CZ200" s="406"/>
      <c r="DA200" s="406"/>
      <c r="DB200" s="406"/>
      <c r="DC200" s="406"/>
      <c r="DD200" s="406"/>
      <c r="DE200" s="406"/>
      <c r="DF200" s="406"/>
      <c r="DG200" s="406"/>
      <c r="DH200" s="406"/>
      <c r="DI200" s="406"/>
      <c r="DJ200" s="406"/>
      <c r="DK200" s="406"/>
      <c r="DL200" s="406"/>
      <c r="DM200" s="406"/>
      <c r="DN200" s="406"/>
      <c r="DO200" s="406"/>
      <c r="DP200" s="406"/>
      <c r="DQ200" s="406"/>
      <c r="DR200" s="406"/>
      <c r="DS200" s="406"/>
      <c r="DT200" s="406"/>
      <c r="DU200" s="406"/>
      <c r="DV200" s="406"/>
      <c r="DW200" s="406"/>
      <c r="DX200" s="406"/>
      <c r="DY200" s="406"/>
      <c r="DZ200" s="406"/>
    </row>
    <row r="201" spans="1:130" s="492" customFormat="1" ht="81" hidden="1" outlineLevel="3">
      <c r="A201" s="438"/>
      <c r="B201" s="438" t="s">
        <v>298</v>
      </c>
      <c r="C201" s="438" t="s">
        <v>408</v>
      </c>
      <c r="D201" s="408" t="s">
        <v>391</v>
      </c>
      <c r="E201" s="385"/>
      <c r="F201" s="385"/>
      <c r="G201" s="385" t="s">
        <v>429</v>
      </c>
      <c r="H201" s="401" t="s">
        <v>428</v>
      </c>
      <c r="I201" s="385" t="s">
        <v>840</v>
      </c>
      <c r="J201" s="489"/>
      <c r="K201" s="412"/>
      <c r="L201" s="412"/>
      <c r="M201" s="490" t="s">
        <v>37</v>
      </c>
      <c r="N201" s="490">
        <v>56</v>
      </c>
    </row>
    <row r="202" spans="1:130" s="492" customFormat="1" ht="87" hidden="1" customHeight="1" outlineLevel="3">
      <c r="A202" s="438"/>
      <c r="B202" s="438" t="s">
        <v>298</v>
      </c>
      <c r="C202" s="438" t="s">
        <v>408</v>
      </c>
      <c r="D202" s="408" t="s">
        <v>391</v>
      </c>
      <c r="E202" s="385"/>
      <c r="F202" s="385"/>
      <c r="G202" s="430" t="s">
        <v>413</v>
      </c>
      <c r="H202" s="401" t="s">
        <v>428</v>
      </c>
      <c r="I202" s="385" t="s">
        <v>409</v>
      </c>
      <c r="J202" s="489"/>
      <c r="K202" s="412"/>
      <c r="L202" s="412"/>
      <c r="M202" s="490" t="s">
        <v>117</v>
      </c>
      <c r="N202" s="424">
        <v>0.72</v>
      </c>
    </row>
    <row r="203" spans="1:130" s="492" customFormat="1" ht="81" hidden="1" outlineLevel="3">
      <c r="A203" s="438"/>
      <c r="B203" s="438" t="s">
        <v>298</v>
      </c>
      <c r="C203" s="438" t="s">
        <v>408</v>
      </c>
      <c r="D203" s="408" t="s">
        <v>391</v>
      </c>
      <c r="E203" s="385"/>
      <c r="F203" s="385"/>
      <c r="G203" s="385" t="s">
        <v>430</v>
      </c>
      <c r="H203" s="401" t="s">
        <v>428</v>
      </c>
      <c r="I203" s="385" t="s">
        <v>169</v>
      </c>
      <c r="J203" s="489"/>
      <c r="K203" s="412"/>
      <c r="L203" s="412"/>
      <c r="M203" s="490" t="s">
        <v>37</v>
      </c>
      <c r="N203" s="431">
        <v>20</v>
      </c>
    </row>
    <row r="204" spans="1:130" s="407" customFormat="1" ht="81" hidden="1" customHeight="1" outlineLevel="2" collapsed="1">
      <c r="A204" s="489" t="s">
        <v>1272</v>
      </c>
      <c r="B204" s="490" t="s">
        <v>298</v>
      </c>
      <c r="C204" s="398" t="s">
        <v>408</v>
      </c>
      <c r="D204" s="399" t="s">
        <v>391</v>
      </c>
      <c r="E204" s="490" t="s">
        <v>1497</v>
      </c>
      <c r="F204" s="385" t="s">
        <v>303</v>
      </c>
      <c r="G204" s="385"/>
      <c r="H204" s="401" t="s">
        <v>1222</v>
      </c>
      <c r="I204" s="385" t="str">
        <f>CONCATENATE(I205," ",N205,M205)</f>
        <v>Ручная расчистка  0,53га</v>
      </c>
      <c r="J204" s="385" t="s">
        <v>365</v>
      </c>
      <c r="K204" s="450">
        <v>44287</v>
      </c>
      <c r="L204" s="450">
        <v>44316</v>
      </c>
      <c r="M204" s="540"/>
      <c r="N204" s="540"/>
      <c r="O204" s="406"/>
      <c r="P204" s="406"/>
      <c r="Q204" s="406"/>
      <c r="R204" s="406"/>
      <c r="S204" s="406"/>
      <c r="T204" s="406"/>
      <c r="U204" s="406"/>
      <c r="V204" s="406"/>
      <c r="W204" s="406"/>
      <c r="X204" s="406"/>
      <c r="Y204" s="406"/>
      <c r="Z204" s="406"/>
      <c r="AA204" s="406"/>
      <c r="AB204" s="406"/>
      <c r="AC204" s="406"/>
      <c r="AD204" s="406"/>
      <c r="AE204" s="406"/>
      <c r="AF204" s="406"/>
      <c r="AG204" s="406"/>
      <c r="AH204" s="406"/>
      <c r="AI204" s="406"/>
      <c r="AJ204" s="406"/>
      <c r="AK204" s="406"/>
      <c r="AL204" s="406"/>
      <c r="AM204" s="406"/>
      <c r="AN204" s="406"/>
      <c r="AO204" s="406"/>
      <c r="AP204" s="406"/>
      <c r="AQ204" s="406"/>
      <c r="AR204" s="406"/>
      <c r="AS204" s="406"/>
      <c r="AT204" s="406"/>
      <c r="AU204" s="406"/>
      <c r="AV204" s="406"/>
      <c r="AW204" s="406"/>
      <c r="AX204" s="406"/>
      <c r="AY204" s="406"/>
      <c r="AZ204" s="406"/>
      <c r="BA204" s="406"/>
      <c r="BB204" s="406"/>
      <c r="BC204" s="406"/>
      <c r="BD204" s="406"/>
      <c r="BE204" s="406"/>
      <c r="BF204" s="406"/>
      <c r="BG204" s="406"/>
      <c r="BH204" s="406"/>
      <c r="BI204" s="406"/>
      <c r="BJ204" s="406"/>
      <c r="BK204" s="406"/>
      <c r="BL204" s="406"/>
      <c r="BM204" s="406"/>
      <c r="BN204" s="406"/>
      <c r="BO204" s="406"/>
      <c r="BP204" s="406"/>
      <c r="BQ204" s="406"/>
      <c r="BR204" s="406"/>
      <c r="BS204" s="406"/>
      <c r="BT204" s="406"/>
      <c r="BU204" s="406"/>
      <c r="BV204" s="406"/>
      <c r="BW204" s="406"/>
      <c r="BX204" s="406"/>
      <c r="BY204" s="406"/>
      <c r="BZ204" s="406"/>
      <c r="CA204" s="406"/>
      <c r="CB204" s="406"/>
      <c r="CC204" s="406"/>
      <c r="CD204" s="406"/>
      <c r="CE204" s="406"/>
      <c r="CF204" s="406"/>
      <c r="CG204" s="406"/>
      <c r="CH204" s="406"/>
      <c r="CI204" s="406"/>
      <c r="CJ204" s="406"/>
      <c r="CK204" s="406"/>
      <c r="CL204" s="406"/>
      <c r="CM204" s="406"/>
      <c r="CN204" s="406"/>
      <c r="CO204" s="406"/>
      <c r="CP204" s="406"/>
      <c r="CQ204" s="406"/>
      <c r="CR204" s="406"/>
      <c r="CS204" s="406"/>
      <c r="CT204" s="406"/>
      <c r="CU204" s="406"/>
      <c r="CV204" s="406"/>
      <c r="CW204" s="406"/>
      <c r="CX204" s="406"/>
      <c r="CY204" s="406"/>
      <c r="CZ204" s="406"/>
      <c r="DA204" s="406"/>
      <c r="DB204" s="406"/>
      <c r="DC204" s="406"/>
      <c r="DD204" s="406"/>
      <c r="DE204" s="406"/>
      <c r="DF204" s="406"/>
      <c r="DG204" s="406"/>
      <c r="DH204" s="406"/>
      <c r="DI204" s="406"/>
      <c r="DJ204" s="406"/>
      <c r="DK204" s="406"/>
      <c r="DL204" s="406"/>
      <c r="DM204" s="406"/>
      <c r="DN204" s="406"/>
      <c r="DO204" s="406"/>
      <c r="DP204" s="406"/>
      <c r="DQ204" s="406"/>
      <c r="DR204" s="406"/>
      <c r="DS204" s="406"/>
      <c r="DT204" s="406"/>
      <c r="DU204" s="406"/>
      <c r="DV204" s="406"/>
      <c r="DW204" s="406"/>
      <c r="DX204" s="406"/>
      <c r="DY204" s="406"/>
      <c r="DZ204" s="406"/>
    </row>
    <row r="205" spans="1:130" s="492" customFormat="1" ht="101.25" hidden="1" outlineLevel="3">
      <c r="A205" s="438"/>
      <c r="B205" s="438" t="s">
        <v>298</v>
      </c>
      <c r="C205" s="438" t="s">
        <v>408</v>
      </c>
      <c r="D205" s="408" t="s">
        <v>391</v>
      </c>
      <c r="E205" s="385"/>
      <c r="F205" s="385"/>
      <c r="G205" s="430" t="s">
        <v>413</v>
      </c>
      <c r="H205" s="401" t="s">
        <v>431</v>
      </c>
      <c r="I205" s="385" t="s">
        <v>409</v>
      </c>
      <c r="J205" s="489"/>
      <c r="K205" s="412"/>
      <c r="L205" s="412"/>
      <c r="M205" s="490" t="s">
        <v>117</v>
      </c>
      <c r="N205" s="424">
        <v>0.53</v>
      </c>
    </row>
    <row r="206" spans="1:130" s="407" customFormat="1" ht="81" hidden="1" customHeight="1" outlineLevel="2" collapsed="1">
      <c r="A206" s="489" t="s">
        <v>1273</v>
      </c>
      <c r="B206" s="490" t="s">
        <v>298</v>
      </c>
      <c r="C206" s="398" t="s">
        <v>408</v>
      </c>
      <c r="D206" s="399" t="s">
        <v>391</v>
      </c>
      <c r="E206" s="490" t="s">
        <v>1498</v>
      </c>
      <c r="F206" s="385" t="s">
        <v>303</v>
      </c>
      <c r="G206" s="385"/>
      <c r="H206" s="401" t="s">
        <v>1223</v>
      </c>
      <c r="I206" s="385" t="str">
        <f>CONCATENATE(I207," ",N207,M207," ",I208," ",N208,M208,," ",I209," ",N209,M209)</f>
        <v>обрезка крон деревьев 17шт. Ручная расчистка  0,37га Вырубка угрожающих деревьев 14шт.</v>
      </c>
      <c r="J206" s="385" t="s">
        <v>365</v>
      </c>
      <c r="K206" s="450">
        <v>44256</v>
      </c>
      <c r="L206" s="450">
        <v>44286</v>
      </c>
      <c r="M206" s="540"/>
      <c r="N206" s="540"/>
      <c r="O206" s="406"/>
      <c r="P206" s="406"/>
      <c r="Q206" s="406"/>
      <c r="R206" s="406"/>
      <c r="S206" s="406"/>
      <c r="T206" s="406"/>
      <c r="U206" s="406"/>
      <c r="V206" s="406"/>
      <c r="W206" s="406"/>
      <c r="X206" s="406"/>
      <c r="Y206" s="406"/>
      <c r="Z206" s="406"/>
      <c r="AA206" s="406"/>
      <c r="AB206" s="406"/>
      <c r="AC206" s="406"/>
      <c r="AD206" s="406"/>
      <c r="AE206" s="406"/>
      <c r="AF206" s="406"/>
      <c r="AG206" s="406"/>
      <c r="AH206" s="406"/>
      <c r="AI206" s="406"/>
      <c r="AJ206" s="406"/>
      <c r="AK206" s="406"/>
      <c r="AL206" s="406"/>
      <c r="AM206" s="406"/>
      <c r="AN206" s="406"/>
      <c r="AO206" s="406"/>
      <c r="AP206" s="406"/>
      <c r="AQ206" s="406"/>
      <c r="AR206" s="406"/>
      <c r="AS206" s="406"/>
      <c r="AT206" s="406"/>
      <c r="AU206" s="406"/>
      <c r="AV206" s="406"/>
      <c r="AW206" s="406"/>
      <c r="AX206" s="406"/>
      <c r="AY206" s="406"/>
      <c r="AZ206" s="406"/>
      <c r="BA206" s="406"/>
      <c r="BB206" s="406"/>
      <c r="BC206" s="406"/>
      <c r="BD206" s="406"/>
      <c r="BE206" s="406"/>
      <c r="BF206" s="406"/>
      <c r="BG206" s="406"/>
      <c r="BH206" s="406"/>
      <c r="BI206" s="406"/>
      <c r="BJ206" s="406"/>
      <c r="BK206" s="406"/>
      <c r="BL206" s="406"/>
      <c r="BM206" s="406"/>
      <c r="BN206" s="406"/>
      <c r="BO206" s="406"/>
      <c r="BP206" s="406"/>
      <c r="BQ206" s="406"/>
      <c r="BR206" s="406"/>
      <c r="BS206" s="406"/>
      <c r="BT206" s="406"/>
      <c r="BU206" s="406"/>
      <c r="BV206" s="406"/>
      <c r="BW206" s="406"/>
      <c r="BX206" s="406"/>
      <c r="BY206" s="406"/>
      <c r="BZ206" s="406"/>
      <c r="CA206" s="406"/>
      <c r="CB206" s="406"/>
      <c r="CC206" s="406"/>
      <c r="CD206" s="406"/>
      <c r="CE206" s="406"/>
      <c r="CF206" s="406"/>
      <c r="CG206" s="406"/>
      <c r="CH206" s="406"/>
      <c r="CI206" s="406"/>
      <c r="CJ206" s="406"/>
      <c r="CK206" s="406"/>
      <c r="CL206" s="406"/>
      <c r="CM206" s="406"/>
      <c r="CN206" s="406"/>
      <c r="CO206" s="406"/>
      <c r="CP206" s="406"/>
      <c r="CQ206" s="406"/>
      <c r="CR206" s="406"/>
      <c r="CS206" s="406"/>
      <c r="CT206" s="406"/>
      <c r="CU206" s="406"/>
      <c r="CV206" s="406"/>
      <c r="CW206" s="406"/>
      <c r="CX206" s="406"/>
      <c r="CY206" s="406"/>
      <c r="CZ206" s="406"/>
      <c r="DA206" s="406"/>
      <c r="DB206" s="406"/>
      <c r="DC206" s="406"/>
      <c r="DD206" s="406"/>
      <c r="DE206" s="406"/>
      <c r="DF206" s="406"/>
      <c r="DG206" s="406"/>
      <c r="DH206" s="406"/>
      <c r="DI206" s="406"/>
      <c r="DJ206" s="406"/>
      <c r="DK206" s="406"/>
      <c r="DL206" s="406"/>
      <c r="DM206" s="406"/>
      <c r="DN206" s="406"/>
      <c r="DO206" s="406"/>
      <c r="DP206" s="406"/>
      <c r="DQ206" s="406"/>
      <c r="DR206" s="406"/>
      <c r="DS206" s="406"/>
      <c r="DT206" s="406"/>
      <c r="DU206" s="406"/>
      <c r="DV206" s="406"/>
      <c r="DW206" s="406"/>
      <c r="DX206" s="406"/>
      <c r="DY206" s="406"/>
      <c r="DZ206" s="406"/>
    </row>
    <row r="207" spans="1:130" s="492" customFormat="1" ht="60.75" hidden="1" outlineLevel="3">
      <c r="A207" s="438"/>
      <c r="B207" s="438" t="s">
        <v>298</v>
      </c>
      <c r="C207" s="438" t="s">
        <v>408</v>
      </c>
      <c r="D207" s="408" t="s">
        <v>391</v>
      </c>
      <c r="E207" s="385"/>
      <c r="F207" s="385"/>
      <c r="G207" s="385" t="s">
        <v>429</v>
      </c>
      <c r="H207" s="401" t="s">
        <v>432</v>
      </c>
      <c r="I207" s="385" t="s">
        <v>840</v>
      </c>
      <c r="J207" s="489"/>
      <c r="K207" s="412"/>
      <c r="L207" s="412"/>
      <c r="M207" s="490" t="s">
        <v>37</v>
      </c>
      <c r="N207" s="490">
        <v>17</v>
      </c>
    </row>
    <row r="208" spans="1:130" s="492" customFormat="1" ht="101.25" hidden="1" outlineLevel="3">
      <c r="A208" s="438"/>
      <c r="B208" s="438" t="s">
        <v>298</v>
      </c>
      <c r="C208" s="438" t="s">
        <v>408</v>
      </c>
      <c r="D208" s="408" t="s">
        <v>391</v>
      </c>
      <c r="E208" s="385"/>
      <c r="F208" s="385"/>
      <c r="G208" s="430" t="s">
        <v>413</v>
      </c>
      <c r="H208" s="401" t="s">
        <v>432</v>
      </c>
      <c r="I208" s="385" t="s">
        <v>409</v>
      </c>
      <c r="J208" s="489"/>
      <c r="K208" s="412"/>
      <c r="L208" s="412"/>
      <c r="M208" s="490" t="s">
        <v>117</v>
      </c>
      <c r="N208" s="424">
        <v>0.37</v>
      </c>
    </row>
    <row r="209" spans="1:130" s="492" customFormat="1" ht="60.75" hidden="1" outlineLevel="3">
      <c r="A209" s="438"/>
      <c r="B209" s="438" t="s">
        <v>298</v>
      </c>
      <c r="C209" s="438" t="s">
        <v>408</v>
      </c>
      <c r="D209" s="408" t="s">
        <v>391</v>
      </c>
      <c r="E209" s="385"/>
      <c r="F209" s="385"/>
      <c r="G209" s="385" t="s">
        <v>430</v>
      </c>
      <c r="H209" s="401" t="s">
        <v>432</v>
      </c>
      <c r="I209" s="385" t="s">
        <v>169</v>
      </c>
      <c r="J209" s="489"/>
      <c r="K209" s="412"/>
      <c r="L209" s="412"/>
      <c r="M209" s="490" t="s">
        <v>37</v>
      </c>
      <c r="N209" s="431">
        <v>14</v>
      </c>
    </row>
    <row r="210" spans="1:130" s="407" customFormat="1" ht="40.5" hidden="1" outlineLevel="2" collapsed="1">
      <c r="A210" s="489" t="s">
        <v>1274</v>
      </c>
      <c r="B210" s="490" t="s">
        <v>298</v>
      </c>
      <c r="C210" s="398" t="s">
        <v>408</v>
      </c>
      <c r="D210" s="399" t="s">
        <v>391</v>
      </c>
      <c r="E210" s="490" t="s">
        <v>1605</v>
      </c>
      <c r="F210" s="385" t="s">
        <v>1606</v>
      </c>
      <c r="G210" s="385"/>
      <c r="H210" s="401" t="s">
        <v>1793</v>
      </c>
      <c r="I210" s="385" t="str">
        <f>CONCATENATE(I211," ",N211,M211)</f>
        <v>Ручная расчистка  0,6га</v>
      </c>
      <c r="J210" s="385" t="s">
        <v>365</v>
      </c>
      <c r="K210" s="450">
        <v>44256</v>
      </c>
      <c r="L210" s="450">
        <v>44347</v>
      </c>
      <c r="M210" s="540"/>
      <c r="N210" s="540"/>
      <c r="O210" s="406"/>
      <c r="P210" s="406"/>
      <c r="Q210" s="406"/>
      <c r="R210" s="406"/>
      <c r="S210" s="406"/>
      <c r="T210" s="406"/>
      <c r="U210" s="406"/>
      <c r="V210" s="406"/>
      <c r="W210" s="406"/>
      <c r="X210" s="406"/>
      <c r="Y210" s="406"/>
      <c r="Z210" s="406"/>
      <c r="AA210" s="406"/>
      <c r="AB210" s="406"/>
      <c r="AC210" s="406"/>
      <c r="AD210" s="406"/>
      <c r="AE210" s="406"/>
      <c r="AF210" s="406"/>
      <c r="AG210" s="406"/>
      <c r="AH210" s="406"/>
      <c r="AI210" s="406"/>
      <c r="AJ210" s="406"/>
      <c r="AK210" s="406"/>
      <c r="AL210" s="406"/>
      <c r="AM210" s="406"/>
      <c r="AN210" s="406"/>
      <c r="AO210" s="406"/>
      <c r="AP210" s="406"/>
      <c r="AQ210" s="406"/>
      <c r="AR210" s="406"/>
      <c r="AS210" s="406"/>
      <c r="AT210" s="406"/>
      <c r="AU210" s="406"/>
      <c r="AV210" s="406"/>
      <c r="AW210" s="406"/>
      <c r="AX210" s="406"/>
      <c r="AY210" s="406"/>
      <c r="AZ210" s="406"/>
      <c r="BA210" s="406"/>
      <c r="BB210" s="406"/>
      <c r="BC210" s="406"/>
      <c r="BD210" s="406"/>
      <c r="BE210" s="406"/>
      <c r="BF210" s="406"/>
      <c r="BG210" s="406"/>
      <c r="BH210" s="406"/>
      <c r="BI210" s="406"/>
      <c r="BJ210" s="406"/>
      <c r="BK210" s="406"/>
      <c r="BL210" s="406"/>
      <c r="BM210" s="406"/>
      <c r="BN210" s="406"/>
      <c r="BO210" s="406"/>
      <c r="BP210" s="406"/>
      <c r="BQ210" s="406"/>
      <c r="BR210" s="406"/>
      <c r="BS210" s="406"/>
      <c r="BT210" s="406"/>
      <c r="BU210" s="406"/>
      <c r="BV210" s="406"/>
      <c r="BW210" s="406"/>
      <c r="BX210" s="406"/>
      <c r="BY210" s="406"/>
      <c r="BZ210" s="406"/>
      <c r="CA210" s="406"/>
      <c r="CB210" s="406"/>
      <c r="CC210" s="406"/>
      <c r="CD210" s="406"/>
      <c r="CE210" s="406"/>
      <c r="CF210" s="406"/>
      <c r="CG210" s="406"/>
      <c r="CH210" s="406"/>
      <c r="CI210" s="406"/>
      <c r="CJ210" s="406"/>
      <c r="CK210" s="406"/>
      <c r="CL210" s="406"/>
      <c r="CM210" s="406"/>
      <c r="CN210" s="406"/>
      <c r="CO210" s="406"/>
      <c r="CP210" s="406"/>
      <c r="CQ210" s="406"/>
      <c r="CR210" s="406"/>
      <c r="CS210" s="406"/>
      <c r="CT210" s="406"/>
      <c r="CU210" s="406"/>
      <c r="CV210" s="406"/>
      <c r="CW210" s="406"/>
      <c r="CX210" s="406"/>
      <c r="CY210" s="406"/>
      <c r="CZ210" s="406"/>
      <c r="DA210" s="406"/>
      <c r="DB210" s="406"/>
      <c r="DC210" s="406"/>
      <c r="DD210" s="406"/>
      <c r="DE210" s="406"/>
      <c r="DF210" s="406"/>
      <c r="DG210" s="406"/>
      <c r="DH210" s="406"/>
      <c r="DI210" s="406"/>
      <c r="DJ210" s="406"/>
      <c r="DK210" s="406"/>
      <c r="DL210" s="406"/>
      <c r="DM210" s="406"/>
      <c r="DN210" s="406"/>
      <c r="DO210" s="406"/>
      <c r="DP210" s="406"/>
      <c r="DQ210" s="406"/>
      <c r="DR210" s="406"/>
      <c r="DS210" s="406"/>
      <c r="DT210" s="406"/>
      <c r="DU210" s="406"/>
      <c r="DV210" s="406"/>
      <c r="DW210" s="406"/>
      <c r="DX210" s="406"/>
      <c r="DY210" s="406"/>
      <c r="DZ210" s="406"/>
    </row>
    <row r="211" spans="1:130" s="492" customFormat="1" ht="101.25" hidden="1" outlineLevel="3">
      <c r="A211" s="438"/>
      <c r="B211" s="438" t="s">
        <v>298</v>
      </c>
      <c r="C211" s="438" t="s">
        <v>408</v>
      </c>
      <c r="D211" s="408" t="s">
        <v>391</v>
      </c>
      <c r="E211" s="385"/>
      <c r="F211" s="385"/>
      <c r="G211" s="430" t="s">
        <v>413</v>
      </c>
      <c r="H211" s="401" t="s">
        <v>1607</v>
      </c>
      <c r="I211" s="385" t="s">
        <v>409</v>
      </c>
      <c r="J211" s="489"/>
      <c r="K211" s="412"/>
      <c r="L211" s="412"/>
      <c r="M211" s="490" t="s">
        <v>117</v>
      </c>
      <c r="N211" s="424">
        <v>0.6</v>
      </c>
    </row>
    <row r="212" spans="1:130" s="407" customFormat="1" ht="40.5" hidden="1" outlineLevel="2" collapsed="1">
      <c r="A212" s="489" t="s">
        <v>1275</v>
      </c>
      <c r="B212" s="490" t="s">
        <v>298</v>
      </c>
      <c r="C212" s="398" t="s">
        <v>408</v>
      </c>
      <c r="D212" s="399" t="s">
        <v>391</v>
      </c>
      <c r="E212" s="490" t="s">
        <v>3709</v>
      </c>
      <c r="F212" s="385" t="s">
        <v>1606</v>
      </c>
      <c r="G212" s="385"/>
      <c r="H212" s="401" t="s">
        <v>1794</v>
      </c>
      <c r="I212" s="385" t="str">
        <f>CONCATENATE(I213," ",N213,M213)</f>
        <v>Ручная расчистка  0,45га</v>
      </c>
      <c r="J212" s="385" t="s">
        <v>365</v>
      </c>
      <c r="K212" s="450">
        <v>44256</v>
      </c>
      <c r="L212" s="450">
        <v>44347</v>
      </c>
      <c r="M212" s="540"/>
      <c r="N212" s="540"/>
      <c r="O212" s="406"/>
      <c r="P212" s="406"/>
      <c r="Q212" s="406"/>
      <c r="R212" s="406"/>
      <c r="S212" s="406"/>
      <c r="T212" s="406"/>
      <c r="U212" s="406"/>
      <c r="V212" s="406"/>
      <c r="W212" s="406"/>
      <c r="X212" s="406"/>
      <c r="Y212" s="406"/>
      <c r="Z212" s="406"/>
      <c r="AA212" s="406"/>
      <c r="AB212" s="406"/>
      <c r="AC212" s="406"/>
      <c r="AD212" s="406"/>
      <c r="AE212" s="406"/>
      <c r="AF212" s="406"/>
      <c r="AG212" s="406"/>
      <c r="AH212" s="406"/>
      <c r="AI212" s="406"/>
      <c r="AJ212" s="406"/>
      <c r="AK212" s="406"/>
      <c r="AL212" s="406"/>
      <c r="AM212" s="406"/>
      <c r="AN212" s="406"/>
      <c r="AO212" s="406"/>
      <c r="AP212" s="406"/>
      <c r="AQ212" s="406"/>
      <c r="AR212" s="406"/>
      <c r="AS212" s="406"/>
      <c r="AT212" s="406"/>
      <c r="AU212" s="406"/>
      <c r="AV212" s="406"/>
      <c r="AW212" s="406"/>
      <c r="AX212" s="406"/>
      <c r="AY212" s="406"/>
      <c r="AZ212" s="406"/>
      <c r="BA212" s="406"/>
      <c r="BB212" s="406"/>
      <c r="BC212" s="406"/>
      <c r="BD212" s="406"/>
      <c r="BE212" s="406"/>
      <c r="BF212" s="406"/>
      <c r="BG212" s="406"/>
      <c r="BH212" s="406"/>
      <c r="BI212" s="406"/>
      <c r="BJ212" s="406"/>
      <c r="BK212" s="406"/>
      <c r="BL212" s="406"/>
      <c r="BM212" s="406"/>
      <c r="BN212" s="406"/>
      <c r="BO212" s="406"/>
      <c r="BP212" s="406"/>
      <c r="BQ212" s="406"/>
      <c r="BR212" s="406"/>
      <c r="BS212" s="406"/>
      <c r="BT212" s="406"/>
      <c r="BU212" s="406"/>
      <c r="BV212" s="406"/>
      <c r="BW212" s="406"/>
      <c r="BX212" s="406"/>
      <c r="BY212" s="406"/>
      <c r="BZ212" s="406"/>
      <c r="CA212" s="406"/>
      <c r="CB212" s="406"/>
      <c r="CC212" s="406"/>
      <c r="CD212" s="406"/>
      <c r="CE212" s="406"/>
      <c r="CF212" s="406"/>
      <c r="CG212" s="406"/>
      <c r="CH212" s="406"/>
      <c r="CI212" s="406"/>
      <c r="CJ212" s="406"/>
      <c r="CK212" s="406"/>
      <c r="CL212" s="406"/>
      <c r="CM212" s="406"/>
      <c r="CN212" s="406"/>
      <c r="CO212" s="406"/>
      <c r="CP212" s="406"/>
      <c r="CQ212" s="406"/>
      <c r="CR212" s="406"/>
      <c r="CS212" s="406"/>
      <c r="CT212" s="406"/>
      <c r="CU212" s="406"/>
      <c r="CV212" s="406"/>
      <c r="CW212" s="406"/>
      <c r="CX212" s="406"/>
      <c r="CY212" s="406"/>
      <c r="CZ212" s="406"/>
      <c r="DA212" s="406"/>
      <c r="DB212" s="406"/>
      <c r="DC212" s="406"/>
      <c r="DD212" s="406"/>
      <c r="DE212" s="406"/>
      <c r="DF212" s="406"/>
      <c r="DG212" s="406"/>
      <c r="DH212" s="406"/>
      <c r="DI212" s="406"/>
      <c r="DJ212" s="406"/>
      <c r="DK212" s="406"/>
      <c r="DL212" s="406"/>
      <c r="DM212" s="406"/>
      <c r="DN212" s="406"/>
      <c r="DO212" s="406"/>
      <c r="DP212" s="406"/>
      <c r="DQ212" s="406"/>
      <c r="DR212" s="406"/>
      <c r="DS212" s="406"/>
      <c r="DT212" s="406"/>
      <c r="DU212" s="406"/>
      <c r="DV212" s="406"/>
      <c r="DW212" s="406"/>
      <c r="DX212" s="406"/>
      <c r="DY212" s="406"/>
      <c r="DZ212" s="406"/>
    </row>
    <row r="213" spans="1:130" s="492" customFormat="1" ht="101.25" hidden="1" outlineLevel="3">
      <c r="A213" s="438"/>
      <c r="B213" s="438" t="s">
        <v>298</v>
      </c>
      <c r="C213" s="438" t="s">
        <v>408</v>
      </c>
      <c r="D213" s="408" t="s">
        <v>391</v>
      </c>
      <c r="E213" s="385"/>
      <c r="F213" s="385"/>
      <c r="G213" s="430" t="s">
        <v>413</v>
      </c>
      <c r="H213" s="401" t="s">
        <v>1608</v>
      </c>
      <c r="I213" s="385" t="s">
        <v>409</v>
      </c>
      <c r="J213" s="489"/>
      <c r="K213" s="412"/>
      <c r="L213" s="412"/>
      <c r="M213" s="490" t="s">
        <v>117</v>
      </c>
      <c r="N213" s="424">
        <v>0.45</v>
      </c>
    </row>
    <row r="214" spans="1:130" s="407" customFormat="1" ht="40.5" hidden="1" outlineLevel="2" collapsed="1">
      <c r="A214" s="489" t="s">
        <v>1276</v>
      </c>
      <c r="B214" s="490" t="s">
        <v>298</v>
      </c>
      <c r="C214" s="398" t="s">
        <v>607</v>
      </c>
      <c r="D214" s="399" t="s">
        <v>391</v>
      </c>
      <c r="E214" s="490" t="s">
        <v>841</v>
      </c>
      <c r="F214" s="385" t="s">
        <v>303</v>
      </c>
      <c r="G214" s="385"/>
      <c r="H214" s="401" t="s">
        <v>1796</v>
      </c>
      <c r="I214" s="385" t="str">
        <f>CONCATENATE(I215," ",N215,M215)</f>
        <v>обрезка крон деревьев 17шт.</v>
      </c>
      <c r="J214" s="385" t="s">
        <v>365</v>
      </c>
      <c r="K214" s="450">
        <v>44409</v>
      </c>
      <c r="L214" s="450">
        <v>44439</v>
      </c>
      <c r="M214" s="540"/>
      <c r="N214" s="540"/>
      <c r="O214" s="406"/>
      <c r="P214" s="406"/>
      <c r="Q214" s="406"/>
      <c r="R214" s="406"/>
      <c r="S214" s="406"/>
      <c r="T214" s="406"/>
      <c r="U214" s="406"/>
      <c r="V214" s="406"/>
      <c r="W214" s="406"/>
      <c r="X214" s="406"/>
      <c r="Y214" s="406"/>
      <c r="Z214" s="406"/>
      <c r="AA214" s="406"/>
      <c r="AB214" s="406"/>
      <c r="AC214" s="406"/>
      <c r="AD214" s="406"/>
      <c r="AE214" s="406"/>
      <c r="AF214" s="406"/>
      <c r="AG214" s="406"/>
      <c r="AH214" s="406"/>
      <c r="AI214" s="406"/>
      <c r="AJ214" s="406"/>
      <c r="AK214" s="406"/>
      <c r="AL214" s="406"/>
      <c r="AM214" s="406"/>
      <c r="AN214" s="406"/>
      <c r="AO214" s="406"/>
      <c r="AP214" s="406"/>
      <c r="AQ214" s="406"/>
      <c r="AR214" s="406"/>
      <c r="AS214" s="406"/>
      <c r="AT214" s="406"/>
      <c r="AU214" s="406"/>
      <c r="AV214" s="406"/>
      <c r="AW214" s="406"/>
      <c r="AX214" s="406"/>
      <c r="AY214" s="406"/>
      <c r="AZ214" s="406"/>
      <c r="BA214" s="406"/>
      <c r="BB214" s="406"/>
      <c r="BC214" s="406"/>
      <c r="BD214" s="406"/>
      <c r="BE214" s="406"/>
      <c r="BF214" s="406"/>
      <c r="BG214" s="406"/>
      <c r="BH214" s="406"/>
      <c r="BI214" s="406"/>
      <c r="BJ214" s="406"/>
      <c r="BK214" s="406"/>
      <c r="BL214" s="406"/>
      <c r="BM214" s="406"/>
      <c r="BN214" s="406"/>
      <c r="BO214" s="406"/>
      <c r="BP214" s="406"/>
      <c r="BQ214" s="406"/>
      <c r="BR214" s="406"/>
      <c r="BS214" s="406"/>
      <c r="BT214" s="406"/>
      <c r="BU214" s="406"/>
      <c r="BV214" s="406"/>
      <c r="BW214" s="406"/>
      <c r="BX214" s="406"/>
      <c r="BY214" s="406"/>
      <c r="BZ214" s="406"/>
      <c r="CA214" s="406"/>
      <c r="CB214" s="406"/>
      <c r="CC214" s="406"/>
      <c r="CD214" s="406"/>
      <c r="CE214" s="406"/>
      <c r="CF214" s="406"/>
      <c r="CG214" s="406"/>
      <c r="CH214" s="406"/>
      <c r="CI214" s="406"/>
      <c r="CJ214" s="406"/>
      <c r="CK214" s="406"/>
      <c r="CL214" s="406"/>
      <c r="CM214" s="406"/>
      <c r="CN214" s="406"/>
      <c r="CO214" s="406"/>
      <c r="CP214" s="406"/>
      <c r="CQ214" s="406"/>
      <c r="CR214" s="406"/>
      <c r="CS214" s="406"/>
      <c r="CT214" s="406"/>
      <c r="CU214" s="406"/>
      <c r="CV214" s="406"/>
      <c r="CW214" s="406"/>
      <c r="CX214" s="406"/>
      <c r="CY214" s="406"/>
      <c r="CZ214" s="406"/>
      <c r="DA214" s="406"/>
      <c r="DB214" s="406"/>
      <c r="DC214" s="406"/>
      <c r="DD214" s="406"/>
      <c r="DE214" s="406"/>
      <c r="DF214" s="406"/>
      <c r="DG214" s="406"/>
      <c r="DH214" s="406"/>
      <c r="DI214" s="406"/>
      <c r="DJ214" s="406"/>
      <c r="DK214" s="406"/>
      <c r="DL214" s="406"/>
      <c r="DM214" s="406"/>
      <c r="DN214" s="406"/>
      <c r="DO214" s="406"/>
      <c r="DP214" s="406"/>
      <c r="DQ214" s="406"/>
      <c r="DR214" s="406"/>
      <c r="DS214" s="406"/>
      <c r="DT214" s="406"/>
      <c r="DU214" s="406"/>
      <c r="DV214" s="406"/>
      <c r="DW214" s="406"/>
      <c r="DX214" s="406"/>
      <c r="DY214" s="406"/>
      <c r="DZ214" s="406"/>
    </row>
    <row r="215" spans="1:130" s="492" customFormat="1" ht="30.6" hidden="1" customHeight="1" outlineLevel="3">
      <c r="A215" s="438"/>
      <c r="B215" s="438"/>
      <c r="C215" s="438"/>
      <c r="D215" s="408"/>
      <c r="E215" s="385"/>
      <c r="F215" s="385"/>
      <c r="G215" s="396"/>
      <c r="H215" s="401" t="s">
        <v>842</v>
      </c>
      <c r="I215" s="385" t="s">
        <v>840</v>
      </c>
      <c r="J215" s="489"/>
      <c r="K215" s="412"/>
      <c r="L215" s="412"/>
      <c r="M215" s="490" t="s">
        <v>37</v>
      </c>
      <c r="N215" s="490">
        <v>17</v>
      </c>
    </row>
    <row r="216" spans="1:130" s="407" customFormat="1" ht="40.5" hidden="1" outlineLevel="2" collapsed="1">
      <c r="A216" s="412" t="s">
        <v>1277</v>
      </c>
      <c r="B216" s="490" t="s">
        <v>298</v>
      </c>
      <c r="C216" s="398" t="s">
        <v>607</v>
      </c>
      <c r="D216" s="399" t="s">
        <v>391</v>
      </c>
      <c r="E216" s="490" t="s">
        <v>843</v>
      </c>
      <c r="F216" s="385" t="s">
        <v>303</v>
      </c>
      <c r="G216" s="385"/>
      <c r="H216" s="401" t="s">
        <v>1797</v>
      </c>
      <c r="I216" s="385" t="str">
        <f>CONCATENATE(I217," ",N217,M217," ",I218," ",N218,M218)</f>
        <v>выправка опор 3шт. Вырубка угрожающих деревьев 32шт.</v>
      </c>
      <c r="J216" s="385" t="s">
        <v>365</v>
      </c>
      <c r="K216" s="450">
        <v>44317</v>
      </c>
      <c r="L216" s="450">
        <v>44347</v>
      </c>
      <c r="M216" s="540"/>
      <c r="N216" s="540"/>
      <c r="O216" s="406"/>
      <c r="P216" s="406"/>
      <c r="Q216" s="406"/>
      <c r="R216" s="406"/>
      <c r="S216" s="406"/>
      <c r="T216" s="406"/>
      <c r="U216" s="406"/>
      <c r="V216" s="406"/>
      <c r="W216" s="406"/>
      <c r="X216" s="406"/>
      <c r="Y216" s="406"/>
      <c r="Z216" s="406"/>
      <c r="AA216" s="406"/>
      <c r="AB216" s="406"/>
      <c r="AC216" s="406"/>
      <c r="AD216" s="406"/>
      <c r="AE216" s="406"/>
      <c r="AF216" s="406"/>
      <c r="AG216" s="406"/>
      <c r="AH216" s="406"/>
      <c r="AI216" s="406"/>
      <c r="AJ216" s="406"/>
      <c r="AK216" s="406"/>
      <c r="AL216" s="406"/>
      <c r="AM216" s="406"/>
      <c r="AN216" s="406"/>
      <c r="AO216" s="406"/>
      <c r="AP216" s="406"/>
      <c r="AQ216" s="406"/>
      <c r="AR216" s="406"/>
      <c r="AS216" s="406"/>
      <c r="AT216" s="406"/>
      <c r="AU216" s="406"/>
      <c r="AV216" s="406"/>
      <c r="AW216" s="406"/>
      <c r="AX216" s="406"/>
      <c r="AY216" s="406"/>
      <c r="AZ216" s="406"/>
      <c r="BA216" s="406"/>
      <c r="BB216" s="406"/>
      <c r="BC216" s="406"/>
      <c r="BD216" s="406"/>
      <c r="BE216" s="406"/>
      <c r="BF216" s="406"/>
      <c r="BG216" s="406"/>
      <c r="BH216" s="406"/>
      <c r="BI216" s="406"/>
      <c r="BJ216" s="406"/>
      <c r="BK216" s="406"/>
      <c r="BL216" s="406"/>
      <c r="BM216" s="406"/>
      <c r="BN216" s="406"/>
      <c r="BO216" s="406"/>
      <c r="BP216" s="406"/>
      <c r="BQ216" s="406"/>
      <c r="BR216" s="406"/>
      <c r="BS216" s="406"/>
      <c r="BT216" s="406"/>
      <c r="BU216" s="406"/>
      <c r="BV216" s="406"/>
      <c r="BW216" s="406"/>
      <c r="BX216" s="406"/>
      <c r="BY216" s="406"/>
      <c r="BZ216" s="406"/>
      <c r="CA216" s="406"/>
      <c r="CB216" s="406"/>
      <c r="CC216" s="406"/>
      <c r="CD216" s="406"/>
      <c r="CE216" s="406"/>
      <c r="CF216" s="406"/>
      <c r="CG216" s="406"/>
      <c r="CH216" s="406"/>
      <c r="CI216" s="406"/>
      <c r="CJ216" s="406"/>
      <c r="CK216" s="406"/>
      <c r="CL216" s="406"/>
      <c r="CM216" s="406"/>
      <c r="CN216" s="406"/>
      <c r="CO216" s="406"/>
      <c r="CP216" s="406"/>
      <c r="CQ216" s="406"/>
      <c r="CR216" s="406"/>
      <c r="CS216" s="406"/>
      <c r="CT216" s="406"/>
      <c r="CU216" s="406"/>
      <c r="CV216" s="406"/>
      <c r="CW216" s="406"/>
      <c r="CX216" s="406"/>
      <c r="CY216" s="406"/>
      <c r="CZ216" s="406"/>
      <c r="DA216" s="406"/>
      <c r="DB216" s="406"/>
      <c r="DC216" s="406"/>
      <c r="DD216" s="406"/>
      <c r="DE216" s="406"/>
      <c r="DF216" s="406"/>
      <c r="DG216" s="406"/>
      <c r="DH216" s="406"/>
      <c r="DI216" s="406"/>
      <c r="DJ216" s="406"/>
      <c r="DK216" s="406"/>
      <c r="DL216" s="406"/>
      <c r="DM216" s="406"/>
      <c r="DN216" s="406"/>
      <c r="DO216" s="406"/>
      <c r="DP216" s="406"/>
      <c r="DQ216" s="406"/>
      <c r="DR216" s="406"/>
      <c r="DS216" s="406"/>
      <c r="DT216" s="406"/>
      <c r="DU216" s="406"/>
      <c r="DV216" s="406"/>
      <c r="DW216" s="406"/>
      <c r="DX216" s="406"/>
      <c r="DY216" s="406"/>
      <c r="DZ216" s="406"/>
    </row>
    <row r="217" spans="1:130" s="492" customFormat="1" hidden="1" outlineLevel="3">
      <c r="A217" s="475"/>
      <c r="B217" s="412"/>
      <c r="C217" s="412"/>
      <c r="D217" s="401"/>
      <c r="E217" s="385"/>
      <c r="F217" s="385"/>
      <c r="G217" s="396"/>
      <c r="H217" s="401" t="s">
        <v>844</v>
      </c>
      <c r="I217" s="385" t="s">
        <v>845</v>
      </c>
      <c r="J217" s="489"/>
      <c r="K217" s="412"/>
      <c r="L217" s="412"/>
      <c r="M217" s="490" t="s">
        <v>37</v>
      </c>
      <c r="N217" s="490">
        <v>3</v>
      </c>
    </row>
    <row r="218" spans="1:130" s="492" customFormat="1" ht="60" hidden="1" customHeight="1" outlineLevel="3">
      <c r="A218" s="475"/>
      <c r="B218" s="412"/>
      <c r="C218" s="412"/>
      <c r="D218" s="401"/>
      <c r="E218" s="385"/>
      <c r="F218" s="385"/>
      <c r="G218" s="396"/>
      <c r="H218" s="401" t="s">
        <v>846</v>
      </c>
      <c r="I218" s="385" t="s">
        <v>169</v>
      </c>
      <c r="J218" s="489"/>
      <c r="K218" s="412"/>
      <c r="L218" s="412"/>
      <c r="M218" s="490" t="s">
        <v>37</v>
      </c>
      <c r="N218" s="490">
        <v>32</v>
      </c>
    </row>
    <row r="219" spans="1:130" s="407" customFormat="1" ht="40.5" hidden="1" outlineLevel="2" collapsed="1">
      <c r="A219" s="412" t="s">
        <v>1278</v>
      </c>
      <c r="B219" s="490" t="s">
        <v>298</v>
      </c>
      <c r="C219" s="398" t="s">
        <v>607</v>
      </c>
      <c r="D219" s="399" t="s">
        <v>391</v>
      </c>
      <c r="E219" s="490" t="s">
        <v>847</v>
      </c>
      <c r="F219" s="385" t="s">
        <v>303</v>
      </c>
      <c r="G219" s="385"/>
      <c r="H219" s="401" t="s">
        <v>1798</v>
      </c>
      <c r="I219" s="385" t="str">
        <f>CONCATENATE(I220," ",N220,M220," ",I221," ",N221,M221)</f>
        <v>выправка опор 6шт. Вырубка угрожающих деревьев 68шт.</v>
      </c>
      <c r="J219" s="385" t="s">
        <v>365</v>
      </c>
      <c r="K219" s="450">
        <v>44348</v>
      </c>
      <c r="L219" s="450">
        <v>44377</v>
      </c>
      <c r="M219" s="540"/>
      <c r="N219" s="540"/>
      <c r="O219" s="406"/>
      <c r="P219" s="406"/>
      <c r="Q219" s="406"/>
      <c r="R219" s="406"/>
      <c r="S219" s="406"/>
      <c r="T219" s="406"/>
      <c r="U219" s="406"/>
      <c r="V219" s="406"/>
      <c r="W219" s="406"/>
      <c r="X219" s="406"/>
      <c r="Y219" s="406"/>
      <c r="Z219" s="406"/>
      <c r="AA219" s="406"/>
      <c r="AB219" s="406"/>
      <c r="AC219" s="406"/>
      <c r="AD219" s="406"/>
      <c r="AE219" s="406"/>
      <c r="AF219" s="406"/>
      <c r="AG219" s="406"/>
      <c r="AH219" s="406"/>
      <c r="AI219" s="406"/>
      <c r="AJ219" s="406"/>
      <c r="AK219" s="406"/>
      <c r="AL219" s="406"/>
      <c r="AM219" s="406"/>
      <c r="AN219" s="406"/>
      <c r="AO219" s="406"/>
      <c r="AP219" s="406"/>
      <c r="AQ219" s="406"/>
      <c r="AR219" s="406"/>
      <c r="AS219" s="406"/>
      <c r="AT219" s="406"/>
      <c r="AU219" s="406"/>
      <c r="AV219" s="406"/>
      <c r="AW219" s="406"/>
      <c r="AX219" s="406"/>
      <c r="AY219" s="406"/>
      <c r="AZ219" s="406"/>
      <c r="BA219" s="406"/>
      <c r="BB219" s="406"/>
      <c r="BC219" s="406"/>
      <c r="BD219" s="406"/>
      <c r="BE219" s="406"/>
      <c r="BF219" s="406"/>
      <c r="BG219" s="406"/>
      <c r="BH219" s="406"/>
      <c r="BI219" s="406"/>
      <c r="BJ219" s="406"/>
      <c r="BK219" s="406"/>
      <c r="BL219" s="406"/>
      <c r="BM219" s="406"/>
      <c r="BN219" s="406"/>
      <c r="BO219" s="406"/>
      <c r="BP219" s="406"/>
      <c r="BQ219" s="406"/>
      <c r="BR219" s="406"/>
      <c r="BS219" s="406"/>
      <c r="BT219" s="406"/>
      <c r="BU219" s="406"/>
      <c r="BV219" s="406"/>
      <c r="BW219" s="406"/>
      <c r="BX219" s="406"/>
      <c r="BY219" s="406"/>
      <c r="BZ219" s="406"/>
      <c r="CA219" s="406"/>
      <c r="CB219" s="406"/>
      <c r="CC219" s="406"/>
      <c r="CD219" s="406"/>
      <c r="CE219" s="406"/>
      <c r="CF219" s="406"/>
      <c r="CG219" s="406"/>
      <c r="CH219" s="406"/>
      <c r="CI219" s="406"/>
      <c r="CJ219" s="406"/>
      <c r="CK219" s="406"/>
      <c r="CL219" s="406"/>
      <c r="CM219" s="406"/>
      <c r="CN219" s="406"/>
      <c r="CO219" s="406"/>
      <c r="CP219" s="406"/>
      <c r="CQ219" s="406"/>
      <c r="CR219" s="406"/>
      <c r="CS219" s="406"/>
      <c r="CT219" s="406"/>
      <c r="CU219" s="406"/>
      <c r="CV219" s="406"/>
      <c r="CW219" s="406"/>
      <c r="CX219" s="406"/>
      <c r="CY219" s="406"/>
      <c r="CZ219" s="406"/>
      <c r="DA219" s="406"/>
      <c r="DB219" s="406"/>
      <c r="DC219" s="406"/>
      <c r="DD219" s="406"/>
      <c r="DE219" s="406"/>
      <c r="DF219" s="406"/>
      <c r="DG219" s="406"/>
      <c r="DH219" s="406"/>
      <c r="DI219" s="406"/>
      <c r="DJ219" s="406"/>
      <c r="DK219" s="406"/>
      <c r="DL219" s="406"/>
      <c r="DM219" s="406"/>
      <c r="DN219" s="406"/>
      <c r="DO219" s="406"/>
      <c r="DP219" s="406"/>
      <c r="DQ219" s="406"/>
      <c r="DR219" s="406"/>
      <c r="DS219" s="406"/>
      <c r="DT219" s="406"/>
      <c r="DU219" s="406"/>
      <c r="DV219" s="406"/>
      <c r="DW219" s="406"/>
      <c r="DX219" s="406"/>
      <c r="DY219" s="406"/>
      <c r="DZ219" s="406"/>
    </row>
    <row r="220" spans="1:130" s="492" customFormat="1" hidden="1" outlineLevel="3">
      <c r="A220" s="475"/>
      <c r="B220" s="412"/>
      <c r="C220" s="412"/>
      <c r="D220" s="401"/>
      <c r="E220" s="385"/>
      <c r="F220" s="385"/>
      <c r="G220" s="396"/>
      <c r="H220" s="401" t="s">
        <v>848</v>
      </c>
      <c r="I220" s="385" t="s">
        <v>845</v>
      </c>
      <c r="J220" s="489"/>
      <c r="K220" s="412"/>
      <c r="L220" s="412"/>
      <c r="M220" s="490" t="s">
        <v>37</v>
      </c>
      <c r="N220" s="490">
        <v>6</v>
      </c>
    </row>
    <row r="221" spans="1:130" s="492" customFormat="1" ht="60" hidden="1" customHeight="1" outlineLevel="3">
      <c r="A221" s="475"/>
      <c r="B221" s="412"/>
      <c r="C221" s="412"/>
      <c r="D221" s="401"/>
      <c r="E221" s="385"/>
      <c r="F221" s="385"/>
      <c r="G221" s="396"/>
      <c r="H221" s="401" t="s">
        <v>849</v>
      </c>
      <c r="I221" s="385" t="s">
        <v>169</v>
      </c>
      <c r="J221" s="489"/>
      <c r="K221" s="412"/>
      <c r="L221" s="412"/>
      <c r="M221" s="490" t="s">
        <v>37</v>
      </c>
      <c r="N221" s="490">
        <v>68</v>
      </c>
    </row>
    <row r="222" spans="1:130" s="407" customFormat="1" ht="81" hidden="1" customHeight="1" outlineLevel="2" collapsed="1">
      <c r="A222" s="489" t="s">
        <v>1752</v>
      </c>
      <c r="B222" s="490" t="s">
        <v>298</v>
      </c>
      <c r="C222" s="398" t="s">
        <v>607</v>
      </c>
      <c r="D222" s="399" t="s">
        <v>391</v>
      </c>
      <c r="E222" s="490" t="s">
        <v>850</v>
      </c>
      <c r="F222" s="385" t="s">
        <v>303</v>
      </c>
      <c r="G222" s="385"/>
      <c r="H222" s="401" t="s">
        <v>1799</v>
      </c>
      <c r="I222" s="385" t="str">
        <f>CONCATENATE(I223," ",N223,M223," ",I224," ",N224,M224,," ",I225," ",N225,M225)</f>
        <v>замена изоляторов 15шт. Вырубка угрожающих деревьев 47шт. Ручная расчистка  3,36га.</v>
      </c>
      <c r="J222" s="385" t="s">
        <v>365</v>
      </c>
      <c r="K222" s="450">
        <v>44409</v>
      </c>
      <c r="L222" s="450">
        <v>44439</v>
      </c>
      <c r="M222" s="540"/>
      <c r="N222" s="540"/>
      <c r="O222" s="406"/>
      <c r="P222" s="406"/>
      <c r="Q222" s="406"/>
      <c r="R222" s="406"/>
      <c r="S222" s="406"/>
      <c r="T222" s="406"/>
      <c r="U222" s="406"/>
      <c r="V222" s="406"/>
      <c r="W222" s="406"/>
      <c r="X222" s="406"/>
      <c r="Y222" s="406"/>
      <c r="Z222" s="406"/>
      <c r="AA222" s="406"/>
      <c r="AB222" s="406"/>
      <c r="AC222" s="406"/>
      <c r="AD222" s="406"/>
      <c r="AE222" s="406"/>
      <c r="AF222" s="406"/>
      <c r="AG222" s="406"/>
      <c r="AH222" s="406"/>
      <c r="AI222" s="406"/>
      <c r="AJ222" s="406"/>
      <c r="AK222" s="406"/>
      <c r="AL222" s="406"/>
      <c r="AM222" s="406"/>
      <c r="AN222" s="406"/>
      <c r="AO222" s="406"/>
      <c r="AP222" s="406"/>
      <c r="AQ222" s="406"/>
      <c r="AR222" s="406"/>
      <c r="AS222" s="406"/>
      <c r="AT222" s="406"/>
      <c r="AU222" s="406"/>
      <c r="AV222" s="406"/>
      <c r="AW222" s="406"/>
      <c r="AX222" s="406"/>
      <c r="AY222" s="406"/>
      <c r="AZ222" s="406"/>
      <c r="BA222" s="406"/>
      <c r="BB222" s="406"/>
      <c r="BC222" s="406"/>
      <c r="BD222" s="406"/>
      <c r="BE222" s="406"/>
      <c r="BF222" s="406"/>
      <c r="BG222" s="406"/>
      <c r="BH222" s="406"/>
      <c r="BI222" s="406"/>
      <c r="BJ222" s="406"/>
      <c r="BK222" s="406"/>
      <c r="BL222" s="406"/>
      <c r="BM222" s="406"/>
      <c r="BN222" s="406"/>
      <c r="BO222" s="406"/>
      <c r="BP222" s="406"/>
      <c r="BQ222" s="406"/>
      <c r="BR222" s="406"/>
      <c r="BS222" s="406"/>
      <c r="BT222" s="406"/>
      <c r="BU222" s="406"/>
      <c r="BV222" s="406"/>
      <c r="BW222" s="406"/>
      <c r="BX222" s="406"/>
      <c r="BY222" s="406"/>
      <c r="BZ222" s="406"/>
      <c r="CA222" s="406"/>
      <c r="CB222" s="406"/>
      <c r="CC222" s="406"/>
      <c r="CD222" s="406"/>
      <c r="CE222" s="406"/>
      <c r="CF222" s="406"/>
      <c r="CG222" s="406"/>
      <c r="CH222" s="406"/>
      <c r="CI222" s="406"/>
      <c r="CJ222" s="406"/>
      <c r="CK222" s="406"/>
      <c r="CL222" s="406"/>
      <c r="CM222" s="406"/>
      <c r="CN222" s="406"/>
      <c r="CO222" s="406"/>
      <c r="CP222" s="406"/>
      <c r="CQ222" s="406"/>
      <c r="CR222" s="406"/>
      <c r="CS222" s="406"/>
      <c r="CT222" s="406"/>
      <c r="CU222" s="406"/>
      <c r="CV222" s="406"/>
      <c r="CW222" s="406"/>
      <c r="CX222" s="406"/>
      <c r="CY222" s="406"/>
      <c r="CZ222" s="406"/>
      <c r="DA222" s="406"/>
      <c r="DB222" s="406"/>
      <c r="DC222" s="406"/>
      <c r="DD222" s="406"/>
      <c r="DE222" s="406"/>
      <c r="DF222" s="406"/>
      <c r="DG222" s="406"/>
      <c r="DH222" s="406"/>
      <c r="DI222" s="406"/>
      <c r="DJ222" s="406"/>
      <c r="DK222" s="406"/>
      <c r="DL222" s="406"/>
      <c r="DM222" s="406"/>
      <c r="DN222" s="406"/>
      <c r="DO222" s="406"/>
      <c r="DP222" s="406"/>
      <c r="DQ222" s="406"/>
      <c r="DR222" s="406"/>
      <c r="DS222" s="406"/>
      <c r="DT222" s="406"/>
      <c r="DU222" s="406"/>
      <c r="DV222" s="406"/>
      <c r="DW222" s="406"/>
      <c r="DX222" s="406"/>
      <c r="DY222" s="406"/>
      <c r="DZ222" s="406"/>
    </row>
    <row r="223" spans="1:130" s="492" customFormat="1" hidden="1" outlineLevel="3">
      <c r="A223" s="438"/>
      <c r="B223" s="438" t="s">
        <v>298</v>
      </c>
      <c r="C223" s="438" t="s">
        <v>607</v>
      </c>
      <c r="D223" s="408" t="s">
        <v>391</v>
      </c>
      <c r="E223" s="385"/>
      <c r="F223" s="385"/>
      <c r="G223" s="385"/>
      <c r="H223" s="401" t="s">
        <v>851</v>
      </c>
      <c r="I223" s="385" t="s">
        <v>852</v>
      </c>
      <c r="J223" s="489"/>
      <c r="K223" s="412"/>
      <c r="L223" s="412"/>
      <c r="M223" s="490" t="s">
        <v>37</v>
      </c>
      <c r="N223" s="490">
        <v>15</v>
      </c>
    </row>
    <row r="224" spans="1:130" s="492" customFormat="1" ht="40.5" hidden="1" outlineLevel="3">
      <c r="A224" s="438"/>
      <c r="B224" s="438" t="s">
        <v>298</v>
      </c>
      <c r="C224" s="438" t="s">
        <v>607</v>
      </c>
      <c r="D224" s="408" t="s">
        <v>391</v>
      </c>
      <c r="E224" s="385"/>
      <c r="F224" s="385"/>
      <c r="G224" s="430"/>
      <c r="H224" s="401" t="s">
        <v>853</v>
      </c>
      <c r="I224" s="385" t="s">
        <v>169</v>
      </c>
      <c r="J224" s="489"/>
      <c r="K224" s="412"/>
      <c r="L224" s="412"/>
      <c r="M224" s="490" t="s">
        <v>37</v>
      </c>
      <c r="N224" s="424">
        <v>47</v>
      </c>
    </row>
    <row r="225" spans="1:130" s="492" customFormat="1" hidden="1" outlineLevel="3">
      <c r="A225" s="438"/>
      <c r="B225" s="438" t="s">
        <v>298</v>
      </c>
      <c r="C225" s="438" t="s">
        <v>607</v>
      </c>
      <c r="D225" s="408" t="s">
        <v>391</v>
      </c>
      <c r="E225" s="385"/>
      <c r="F225" s="385"/>
      <c r="G225" s="385"/>
      <c r="H225" s="401" t="s">
        <v>854</v>
      </c>
      <c r="I225" s="385" t="s">
        <v>409</v>
      </c>
      <c r="J225" s="489"/>
      <c r="K225" s="412"/>
      <c r="L225" s="412"/>
      <c r="M225" s="490" t="s">
        <v>95</v>
      </c>
      <c r="N225" s="431">
        <v>3.36</v>
      </c>
    </row>
    <row r="226" spans="1:130" s="407" customFormat="1" ht="81" hidden="1" customHeight="1" outlineLevel="2" collapsed="1">
      <c r="A226" s="489" t="s">
        <v>1753</v>
      </c>
      <c r="B226" s="490" t="s">
        <v>298</v>
      </c>
      <c r="C226" s="398" t="s">
        <v>607</v>
      </c>
      <c r="D226" s="399" t="s">
        <v>391</v>
      </c>
      <c r="E226" s="490" t="s">
        <v>855</v>
      </c>
      <c r="F226" s="385" t="s">
        <v>303</v>
      </c>
      <c r="G226" s="385"/>
      <c r="H226" s="401" t="s">
        <v>1800</v>
      </c>
      <c r="I226" s="385" t="str">
        <f>CONCATENATE(I227," ",N227,M227," ",)</f>
        <v xml:space="preserve">Замена РЛНД 1шт. </v>
      </c>
      <c r="J226" s="385" t="s">
        <v>365</v>
      </c>
      <c r="K226" s="450">
        <v>44470</v>
      </c>
      <c r="L226" s="450">
        <v>44500</v>
      </c>
      <c r="M226" s="540"/>
      <c r="N226" s="540"/>
      <c r="O226" s="406"/>
      <c r="P226" s="406"/>
      <c r="Q226" s="406"/>
      <c r="R226" s="406"/>
      <c r="S226" s="406"/>
      <c r="T226" s="406"/>
      <c r="U226" s="406"/>
      <c r="V226" s="406"/>
      <c r="W226" s="406"/>
      <c r="X226" s="406"/>
      <c r="Y226" s="406"/>
      <c r="Z226" s="406"/>
      <c r="AA226" s="406"/>
      <c r="AB226" s="406"/>
      <c r="AC226" s="406"/>
      <c r="AD226" s="406"/>
      <c r="AE226" s="406"/>
      <c r="AF226" s="406"/>
      <c r="AG226" s="406"/>
      <c r="AH226" s="406"/>
      <c r="AI226" s="406"/>
      <c r="AJ226" s="406"/>
      <c r="AK226" s="406"/>
      <c r="AL226" s="406"/>
      <c r="AM226" s="406"/>
      <c r="AN226" s="406"/>
      <c r="AO226" s="406"/>
      <c r="AP226" s="406"/>
      <c r="AQ226" s="406"/>
      <c r="AR226" s="406"/>
      <c r="AS226" s="406"/>
      <c r="AT226" s="406"/>
      <c r="AU226" s="406"/>
      <c r="AV226" s="406"/>
      <c r="AW226" s="406"/>
      <c r="AX226" s="406"/>
      <c r="AY226" s="406"/>
      <c r="AZ226" s="406"/>
      <c r="BA226" s="406"/>
      <c r="BB226" s="406"/>
      <c r="BC226" s="406"/>
      <c r="BD226" s="406"/>
      <c r="BE226" s="406"/>
      <c r="BF226" s="406"/>
      <c r="BG226" s="406"/>
      <c r="BH226" s="406"/>
      <c r="BI226" s="406"/>
      <c r="BJ226" s="406"/>
      <c r="BK226" s="406"/>
      <c r="BL226" s="406"/>
      <c r="BM226" s="406"/>
      <c r="BN226" s="406"/>
      <c r="BO226" s="406"/>
      <c r="BP226" s="406"/>
      <c r="BQ226" s="406"/>
      <c r="BR226" s="406"/>
      <c r="BS226" s="406"/>
      <c r="BT226" s="406"/>
      <c r="BU226" s="406"/>
      <c r="BV226" s="406"/>
      <c r="BW226" s="406"/>
      <c r="BX226" s="406"/>
      <c r="BY226" s="406"/>
      <c r="BZ226" s="406"/>
      <c r="CA226" s="406"/>
      <c r="CB226" s="406"/>
      <c r="CC226" s="406"/>
      <c r="CD226" s="406"/>
      <c r="CE226" s="406"/>
      <c r="CF226" s="406"/>
      <c r="CG226" s="406"/>
      <c r="CH226" s="406"/>
      <c r="CI226" s="406"/>
      <c r="CJ226" s="406"/>
      <c r="CK226" s="406"/>
      <c r="CL226" s="406"/>
      <c r="CM226" s="406"/>
      <c r="CN226" s="406"/>
      <c r="CO226" s="406"/>
      <c r="CP226" s="406"/>
      <c r="CQ226" s="406"/>
      <c r="CR226" s="406"/>
      <c r="CS226" s="406"/>
      <c r="CT226" s="406"/>
      <c r="CU226" s="406"/>
      <c r="CV226" s="406"/>
      <c r="CW226" s="406"/>
      <c r="CX226" s="406"/>
      <c r="CY226" s="406"/>
      <c r="CZ226" s="406"/>
      <c r="DA226" s="406"/>
      <c r="DB226" s="406"/>
      <c r="DC226" s="406"/>
      <c r="DD226" s="406"/>
      <c r="DE226" s="406"/>
      <c r="DF226" s="406"/>
      <c r="DG226" s="406"/>
      <c r="DH226" s="406"/>
      <c r="DI226" s="406"/>
      <c r="DJ226" s="406"/>
      <c r="DK226" s="406"/>
      <c r="DL226" s="406"/>
      <c r="DM226" s="406"/>
      <c r="DN226" s="406"/>
      <c r="DO226" s="406"/>
      <c r="DP226" s="406"/>
      <c r="DQ226" s="406"/>
      <c r="DR226" s="406"/>
      <c r="DS226" s="406"/>
      <c r="DT226" s="406"/>
      <c r="DU226" s="406"/>
      <c r="DV226" s="406"/>
      <c r="DW226" s="406"/>
      <c r="DX226" s="406"/>
      <c r="DY226" s="406"/>
      <c r="DZ226" s="406"/>
    </row>
    <row r="227" spans="1:130" s="492" customFormat="1" hidden="1" outlineLevel="3">
      <c r="A227" s="438"/>
      <c r="B227" s="438" t="s">
        <v>298</v>
      </c>
      <c r="C227" s="438" t="s">
        <v>607</v>
      </c>
      <c r="D227" s="408" t="s">
        <v>391</v>
      </c>
      <c r="E227" s="385"/>
      <c r="F227" s="385"/>
      <c r="G227" s="385"/>
      <c r="H227" s="401" t="s">
        <v>856</v>
      </c>
      <c r="I227" s="385" t="s">
        <v>187</v>
      </c>
      <c r="J227" s="489"/>
      <c r="K227" s="412"/>
      <c r="L227" s="412"/>
      <c r="M227" s="490" t="s">
        <v>37</v>
      </c>
      <c r="N227" s="490">
        <v>1</v>
      </c>
    </row>
    <row r="228" spans="1:130" s="407" customFormat="1" ht="81" hidden="1" customHeight="1" outlineLevel="2" collapsed="1">
      <c r="A228" s="489" t="s">
        <v>1279</v>
      </c>
      <c r="B228" s="490" t="s">
        <v>298</v>
      </c>
      <c r="C228" s="398" t="s">
        <v>607</v>
      </c>
      <c r="D228" s="399" t="s">
        <v>391</v>
      </c>
      <c r="E228" s="490" t="s">
        <v>857</v>
      </c>
      <c r="F228" s="385" t="s">
        <v>303</v>
      </c>
      <c r="G228" s="385"/>
      <c r="H228" s="401" t="s">
        <v>1801</v>
      </c>
      <c r="I228" s="385" t="str">
        <f>CONCATENATE(I229," ",N229,M229," ",)</f>
        <v xml:space="preserve">Замена РЛНД 1шт. </v>
      </c>
      <c r="J228" s="385" t="s">
        <v>365</v>
      </c>
      <c r="K228" s="450">
        <v>44440</v>
      </c>
      <c r="L228" s="450">
        <v>44469</v>
      </c>
      <c r="M228" s="540"/>
      <c r="N228" s="540"/>
      <c r="O228" s="406"/>
      <c r="P228" s="406"/>
      <c r="Q228" s="406"/>
      <c r="R228" s="406"/>
      <c r="S228" s="406"/>
      <c r="T228" s="406"/>
      <c r="U228" s="406"/>
      <c r="V228" s="406"/>
      <c r="W228" s="406"/>
      <c r="X228" s="406"/>
      <c r="Y228" s="406"/>
      <c r="Z228" s="406"/>
      <c r="AA228" s="406"/>
      <c r="AB228" s="406"/>
      <c r="AC228" s="406"/>
      <c r="AD228" s="406"/>
      <c r="AE228" s="406"/>
      <c r="AF228" s="406"/>
      <c r="AG228" s="406"/>
      <c r="AH228" s="406"/>
      <c r="AI228" s="406"/>
      <c r="AJ228" s="406"/>
      <c r="AK228" s="406"/>
      <c r="AL228" s="406"/>
      <c r="AM228" s="406"/>
      <c r="AN228" s="406"/>
      <c r="AO228" s="406"/>
      <c r="AP228" s="406"/>
      <c r="AQ228" s="406"/>
      <c r="AR228" s="406"/>
      <c r="AS228" s="406"/>
      <c r="AT228" s="406"/>
      <c r="AU228" s="406"/>
      <c r="AV228" s="406"/>
      <c r="AW228" s="406"/>
      <c r="AX228" s="406"/>
      <c r="AY228" s="406"/>
      <c r="AZ228" s="406"/>
      <c r="BA228" s="406"/>
      <c r="BB228" s="406"/>
      <c r="BC228" s="406"/>
      <c r="BD228" s="406"/>
      <c r="BE228" s="406"/>
      <c r="BF228" s="406"/>
      <c r="BG228" s="406"/>
      <c r="BH228" s="406"/>
      <c r="BI228" s="406"/>
      <c r="BJ228" s="406"/>
      <c r="BK228" s="406"/>
      <c r="BL228" s="406"/>
      <c r="BM228" s="406"/>
      <c r="BN228" s="406"/>
      <c r="BO228" s="406"/>
      <c r="BP228" s="406"/>
      <c r="BQ228" s="406"/>
      <c r="BR228" s="406"/>
      <c r="BS228" s="406"/>
      <c r="BT228" s="406"/>
      <c r="BU228" s="406"/>
      <c r="BV228" s="406"/>
      <c r="BW228" s="406"/>
      <c r="BX228" s="406"/>
      <c r="BY228" s="406"/>
      <c r="BZ228" s="406"/>
      <c r="CA228" s="406"/>
      <c r="CB228" s="406"/>
      <c r="CC228" s="406"/>
      <c r="CD228" s="406"/>
      <c r="CE228" s="406"/>
      <c r="CF228" s="406"/>
      <c r="CG228" s="406"/>
      <c r="CH228" s="406"/>
      <c r="CI228" s="406"/>
      <c r="CJ228" s="406"/>
      <c r="CK228" s="406"/>
      <c r="CL228" s="406"/>
      <c r="CM228" s="406"/>
      <c r="CN228" s="406"/>
      <c r="CO228" s="406"/>
      <c r="CP228" s="406"/>
      <c r="CQ228" s="406"/>
      <c r="CR228" s="406"/>
      <c r="CS228" s="406"/>
      <c r="CT228" s="406"/>
      <c r="CU228" s="406"/>
      <c r="CV228" s="406"/>
      <c r="CW228" s="406"/>
      <c r="CX228" s="406"/>
      <c r="CY228" s="406"/>
      <c r="CZ228" s="406"/>
      <c r="DA228" s="406"/>
      <c r="DB228" s="406"/>
      <c r="DC228" s="406"/>
      <c r="DD228" s="406"/>
      <c r="DE228" s="406"/>
      <c r="DF228" s="406"/>
      <c r="DG228" s="406"/>
      <c r="DH228" s="406"/>
      <c r="DI228" s="406"/>
      <c r="DJ228" s="406"/>
      <c r="DK228" s="406"/>
      <c r="DL228" s="406"/>
      <c r="DM228" s="406"/>
      <c r="DN228" s="406"/>
      <c r="DO228" s="406"/>
      <c r="DP228" s="406"/>
      <c r="DQ228" s="406"/>
      <c r="DR228" s="406"/>
      <c r="DS228" s="406"/>
      <c r="DT228" s="406"/>
      <c r="DU228" s="406"/>
      <c r="DV228" s="406"/>
      <c r="DW228" s="406"/>
      <c r="DX228" s="406"/>
      <c r="DY228" s="406"/>
      <c r="DZ228" s="406"/>
    </row>
    <row r="229" spans="1:130" s="492" customFormat="1" hidden="1" outlineLevel="3">
      <c r="A229" s="438"/>
      <c r="B229" s="438" t="s">
        <v>298</v>
      </c>
      <c r="C229" s="438" t="s">
        <v>607</v>
      </c>
      <c r="D229" s="408" t="s">
        <v>391</v>
      </c>
      <c r="E229" s="385"/>
      <c r="F229" s="385"/>
      <c r="G229" s="385"/>
      <c r="H229" s="401" t="s">
        <v>858</v>
      </c>
      <c r="I229" s="385" t="s">
        <v>187</v>
      </c>
      <c r="J229" s="489"/>
      <c r="K229" s="412"/>
      <c r="L229" s="412"/>
      <c r="M229" s="490" t="s">
        <v>37</v>
      </c>
      <c r="N229" s="490">
        <v>1</v>
      </c>
    </row>
    <row r="230" spans="1:130" s="406" customFormat="1" ht="40.5" hidden="1" outlineLevel="3">
      <c r="A230" s="489" t="s">
        <v>1754</v>
      </c>
      <c r="B230" s="490" t="s">
        <v>54</v>
      </c>
      <c r="C230" s="398" t="s">
        <v>520</v>
      </c>
      <c r="D230" s="399" t="s">
        <v>391</v>
      </c>
      <c r="E230" s="490" t="s">
        <v>1559</v>
      </c>
      <c r="F230" s="385" t="s">
        <v>303</v>
      </c>
      <c r="G230" s="385"/>
      <c r="H230" s="401" t="s">
        <v>1724</v>
      </c>
      <c r="I230" s="385" t="str">
        <f>CONCATENATE(I231," ",N231,M231," ",I232," ",N232,M232," ",)</f>
        <v xml:space="preserve">выправка опор 1шт. замена штыревого изолятора 8шт. </v>
      </c>
      <c r="J230" s="385" t="s">
        <v>365</v>
      </c>
      <c r="K230" s="450">
        <v>44348</v>
      </c>
      <c r="L230" s="450">
        <v>44377</v>
      </c>
      <c r="M230" s="540"/>
      <c r="N230" s="540"/>
    </row>
    <row r="231" spans="1:130" s="492" customFormat="1" hidden="1" outlineLevel="3">
      <c r="A231" s="577"/>
      <c r="B231" s="438" t="s">
        <v>54</v>
      </c>
      <c r="C231" s="438" t="s">
        <v>520</v>
      </c>
      <c r="D231" s="408" t="s">
        <v>391</v>
      </c>
      <c r="E231" s="385"/>
      <c r="F231" s="385"/>
      <c r="G231" s="430"/>
      <c r="H231" s="401" t="s">
        <v>1560</v>
      </c>
      <c r="I231" s="385" t="s">
        <v>845</v>
      </c>
      <c r="J231" s="489"/>
      <c r="K231" s="412"/>
      <c r="L231" s="412"/>
      <c r="M231" s="490" t="s">
        <v>37</v>
      </c>
      <c r="N231" s="424">
        <v>1</v>
      </c>
    </row>
    <row r="232" spans="1:130" s="492" customFormat="1" hidden="1" outlineLevel="3">
      <c r="A232" s="576"/>
      <c r="B232" s="438" t="s">
        <v>54</v>
      </c>
      <c r="C232" s="438" t="s">
        <v>520</v>
      </c>
      <c r="D232" s="408" t="s">
        <v>391</v>
      </c>
      <c r="E232" s="385"/>
      <c r="F232" s="385"/>
      <c r="G232" s="430"/>
      <c r="H232" s="401" t="s">
        <v>1561</v>
      </c>
      <c r="I232" s="385" t="s">
        <v>1553</v>
      </c>
      <c r="J232" s="489"/>
      <c r="K232" s="412"/>
      <c r="L232" s="412"/>
      <c r="M232" s="490" t="s">
        <v>37</v>
      </c>
      <c r="N232" s="424">
        <v>8</v>
      </c>
    </row>
    <row r="233" spans="1:130" s="406" customFormat="1" ht="40.5" hidden="1" outlineLevel="3">
      <c r="A233" s="489" t="s">
        <v>1280</v>
      </c>
      <c r="B233" s="490" t="s">
        <v>54</v>
      </c>
      <c r="C233" s="398" t="s">
        <v>520</v>
      </c>
      <c r="D233" s="399" t="s">
        <v>391</v>
      </c>
      <c r="E233" s="490" t="s">
        <v>1562</v>
      </c>
      <c r="F233" s="385" t="s">
        <v>303</v>
      </c>
      <c r="G233" s="385"/>
      <c r="H233" s="401" t="s">
        <v>1566</v>
      </c>
      <c r="I233" s="385" t="str">
        <f>CONCATENATE(I234," ",N234,M234," ",I235," ",N235,M235," ",I236," ",N236,M236," ",)</f>
        <v xml:space="preserve">ручная расчистка 0,8га. выправка опор 1шт. замена штыревого изолятора 3шт. </v>
      </c>
      <c r="J233" s="385" t="s">
        <v>365</v>
      </c>
      <c r="K233" s="450">
        <v>44256</v>
      </c>
      <c r="L233" s="450">
        <v>44286</v>
      </c>
      <c r="M233" s="540"/>
      <c r="N233" s="540"/>
    </row>
    <row r="234" spans="1:130" s="491" customFormat="1" hidden="1" outlineLevel="3">
      <c r="A234" s="575"/>
      <c r="B234" s="438" t="s">
        <v>54</v>
      </c>
      <c r="C234" s="438" t="s">
        <v>520</v>
      </c>
      <c r="D234" s="408" t="s">
        <v>391</v>
      </c>
      <c r="E234" s="385"/>
      <c r="F234" s="385"/>
      <c r="G234" s="385"/>
      <c r="H234" s="401" t="s">
        <v>1565</v>
      </c>
      <c r="I234" s="385" t="s">
        <v>864</v>
      </c>
      <c r="J234" s="489"/>
      <c r="K234" s="412"/>
      <c r="L234" s="412"/>
      <c r="M234" s="490" t="s">
        <v>95</v>
      </c>
      <c r="N234" s="490">
        <v>0.8</v>
      </c>
    </row>
    <row r="235" spans="1:130" s="491" customFormat="1" hidden="1" outlineLevel="3">
      <c r="A235" s="577"/>
      <c r="B235" s="438" t="s">
        <v>54</v>
      </c>
      <c r="C235" s="438" t="s">
        <v>520</v>
      </c>
      <c r="D235" s="408" t="s">
        <v>391</v>
      </c>
      <c r="E235" s="385"/>
      <c r="F235" s="385"/>
      <c r="G235" s="430"/>
      <c r="H235" s="401" t="s">
        <v>1563</v>
      </c>
      <c r="I235" s="385" t="s">
        <v>845</v>
      </c>
      <c r="J235" s="489"/>
      <c r="K235" s="412"/>
      <c r="L235" s="412"/>
      <c r="M235" s="490" t="s">
        <v>37</v>
      </c>
      <c r="N235" s="424">
        <v>1</v>
      </c>
    </row>
    <row r="236" spans="1:130" s="491" customFormat="1" hidden="1" outlineLevel="3">
      <c r="A236" s="576"/>
      <c r="B236" s="438" t="s">
        <v>54</v>
      </c>
      <c r="C236" s="438" t="s">
        <v>520</v>
      </c>
      <c r="D236" s="408" t="s">
        <v>391</v>
      </c>
      <c r="E236" s="385"/>
      <c r="F236" s="385"/>
      <c r="G236" s="430"/>
      <c r="H236" s="401" t="s">
        <v>1564</v>
      </c>
      <c r="I236" s="385" t="s">
        <v>1553</v>
      </c>
      <c r="J236" s="489"/>
      <c r="K236" s="412"/>
      <c r="L236" s="412"/>
      <c r="M236" s="490" t="s">
        <v>37</v>
      </c>
      <c r="N236" s="424">
        <v>3</v>
      </c>
    </row>
    <row r="237" spans="1:130" s="406" customFormat="1" ht="40.5" hidden="1" outlineLevel="3">
      <c r="A237" s="489" t="s">
        <v>1281</v>
      </c>
      <c r="B237" s="490" t="s">
        <v>54</v>
      </c>
      <c r="C237" s="398" t="s">
        <v>520</v>
      </c>
      <c r="D237" s="399" t="s">
        <v>391</v>
      </c>
      <c r="E237" s="490" t="s">
        <v>3284</v>
      </c>
      <c r="F237" s="385" t="s">
        <v>303</v>
      </c>
      <c r="G237" s="385"/>
      <c r="H237" s="401" t="s">
        <v>3285</v>
      </c>
      <c r="I237" s="385" t="str">
        <f>CONCATENATE(I238," ",N238,M238," ",)</f>
        <v xml:space="preserve">ручная расчистка 0,4га. </v>
      </c>
      <c r="J237" s="385" t="s">
        <v>365</v>
      </c>
      <c r="K237" s="450">
        <v>44348</v>
      </c>
      <c r="L237" s="450">
        <v>44377</v>
      </c>
      <c r="M237" s="540"/>
      <c r="N237" s="540"/>
    </row>
    <row r="238" spans="1:130" s="491" customFormat="1" hidden="1" outlineLevel="3">
      <c r="A238" s="534"/>
      <c r="B238" s="438" t="s">
        <v>54</v>
      </c>
      <c r="C238" s="438" t="s">
        <v>520</v>
      </c>
      <c r="D238" s="408" t="s">
        <v>391</v>
      </c>
      <c r="E238" s="385"/>
      <c r="F238" s="385"/>
      <c r="G238" s="385"/>
      <c r="H238" s="401" t="s">
        <v>3286</v>
      </c>
      <c r="I238" s="385" t="s">
        <v>864</v>
      </c>
      <c r="J238" s="489"/>
      <c r="K238" s="412"/>
      <c r="L238" s="412"/>
      <c r="M238" s="490" t="s">
        <v>95</v>
      </c>
      <c r="N238" s="490">
        <v>0.4</v>
      </c>
    </row>
    <row r="239" spans="1:130" s="406" customFormat="1" ht="40.5" hidden="1" outlineLevel="3">
      <c r="A239" s="489" t="s">
        <v>1755</v>
      </c>
      <c r="B239" s="490" t="s">
        <v>54</v>
      </c>
      <c r="C239" s="398" t="s">
        <v>520</v>
      </c>
      <c r="D239" s="399" t="s">
        <v>391</v>
      </c>
      <c r="E239" s="490" t="s">
        <v>3287</v>
      </c>
      <c r="F239" s="385" t="s">
        <v>303</v>
      </c>
      <c r="G239" s="385"/>
      <c r="H239" s="401" t="s">
        <v>3288</v>
      </c>
      <c r="I239" s="385" t="str">
        <f>CONCATENATE(I240," ",N240,M240," ",)</f>
        <v xml:space="preserve">ручная расчистка 0,5га. </v>
      </c>
      <c r="J239" s="385" t="s">
        <v>365</v>
      </c>
      <c r="K239" s="450">
        <v>44378</v>
      </c>
      <c r="L239" s="450">
        <v>44408</v>
      </c>
      <c r="M239" s="540"/>
      <c r="N239" s="540"/>
    </row>
    <row r="240" spans="1:130" s="491" customFormat="1" hidden="1" outlineLevel="3">
      <c r="A240" s="534"/>
      <c r="B240" s="438" t="s">
        <v>54</v>
      </c>
      <c r="C240" s="438" t="s">
        <v>520</v>
      </c>
      <c r="D240" s="408" t="s">
        <v>391</v>
      </c>
      <c r="E240" s="385"/>
      <c r="F240" s="385"/>
      <c r="G240" s="385"/>
      <c r="H240" s="401" t="s">
        <v>3289</v>
      </c>
      <c r="I240" s="385" t="s">
        <v>864</v>
      </c>
      <c r="J240" s="489"/>
      <c r="K240" s="412"/>
      <c r="L240" s="412"/>
      <c r="M240" s="490" t="s">
        <v>95</v>
      </c>
      <c r="N240" s="490">
        <v>0.5</v>
      </c>
    </row>
    <row r="241" spans="1:130" s="406" customFormat="1" ht="40.5" hidden="1" outlineLevel="3">
      <c r="A241" s="489" t="s">
        <v>1282</v>
      </c>
      <c r="B241" s="490" t="s">
        <v>54</v>
      </c>
      <c r="C241" s="398" t="s">
        <v>520</v>
      </c>
      <c r="D241" s="399" t="s">
        <v>391</v>
      </c>
      <c r="E241" s="490" t="s">
        <v>3287</v>
      </c>
      <c r="F241" s="385" t="s">
        <v>303</v>
      </c>
      <c r="G241" s="385"/>
      <c r="H241" s="401" t="s">
        <v>3290</v>
      </c>
      <c r="I241" s="385" t="str">
        <f>CONCATENATE(I242," ",N242,M242," ",)</f>
        <v xml:space="preserve">ручная расчистка 0,5га. </v>
      </c>
      <c r="J241" s="385" t="s">
        <v>365</v>
      </c>
      <c r="K241" s="450">
        <v>44317</v>
      </c>
      <c r="L241" s="450">
        <v>44347</v>
      </c>
      <c r="M241" s="540"/>
      <c r="N241" s="540"/>
    </row>
    <row r="242" spans="1:130" s="491" customFormat="1" hidden="1" outlineLevel="3">
      <c r="A242" s="534"/>
      <c r="B242" s="438" t="s">
        <v>54</v>
      </c>
      <c r="C242" s="438" t="s">
        <v>520</v>
      </c>
      <c r="D242" s="408" t="s">
        <v>391</v>
      </c>
      <c r="E242" s="385"/>
      <c r="F242" s="385"/>
      <c r="G242" s="385"/>
      <c r="H242" s="401" t="s">
        <v>3291</v>
      </c>
      <c r="I242" s="385" t="s">
        <v>864</v>
      </c>
      <c r="J242" s="489"/>
      <c r="K242" s="412"/>
      <c r="L242" s="412"/>
      <c r="M242" s="490" t="s">
        <v>95</v>
      </c>
      <c r="N242" s="490">
        <v>0.5</v>
      </c>
    </row>
    <row r="243" spans="1:130" s="407" customFormat="1" ht="81" hidden="1" customHeight="1" outlineLevel="2" collapsed="1">
      <c r="A243" s="489" t="s">
        <v>1283</v>
      </c>
      <c r="B243" s="490" t="s">
        <v>298</v>
      </c>
      <c r="C243" s="398" t="s">
        <v>578</v>
      </c>
      <c r="D243" s="399" t="s">
        <v>391</v>
      </c>
      <c r="E243" s="490" t="s">
        <v>865</v>
      </c>
      <c r="F243" s="385" t="s">
        <v>303</v>
      </c>
      <c r="G243" s="385"/>
      <c r="H243" s="401" t="s">
        <v>1227</v>
      </c>
      <c r="I243" s="385" t="str">
        <f>CONCATENATE(I244," ",N244,M244," ",I245," ",N245,M245," ",I246," ",N246,M246," ",I247," ",N247,M247," ",)</f>
        <v xml:space="preserve">Замена опоры 2шт. Вырубка угрожающих деревьев 30шт. выправка опор 2шт, Ручная расчистка 0,5га. </v>
      </c>
      <c r="J243" s="385" t="s">
        <v>365</v>
      </c>
      <c r="K243" s="450">
        <v>44409</v>
      </c>
      <c r="L243" s="450">
        <v>44439</v>
      </c>
      <c r="M243" s="540"/>
      <c r="N243" s="540"/>
      <c r="O243" s="406"/>
      <c r="P243" s="406"/>
      <c r="Q243" s="406"/>
      <c r="R243" s="406"/>
      <c r="S243" s="406"/>
      <c r="T243" s="406"/>
      <c r="U243" s="406"/>
      <c r="V243" s="406"/>
      <c r="W243" s="406"/>
      <c r="X243" s="406"/>
      <c r="Y243" s="406"/>
      <c r="Z243" s="406"/>
      <c r="AA243" s="406"/>
      <c r="AB243" s="406"/>
      <c r="AC243" s="406"/>
      <c r="AD243" s="406"/>
      <c r="AE243" s="406"/>
      <c r="AF243" s="406"/>
      <c r="AG243" s="406"/>
      <c r="AH243" s="406"/>
      <c r="AI243" s="406"/>
      <c r="AJ243" s="406"/>
      <c r="AK243" s="406"/>
      <c r="AL243" s="406"/>
      <c r="AM243" s="406"/>
      <c r="AN243" s="406"/>
      <c r="AO243" s="406"/>
      <c r="AP243" s="406"/>
      <c r="AQ243" s="406"/>
      <c r="AR243" s="406"/>
      <c r="AS243" s="406"/>
      <c r="AT243" s="406"/>
      <c r="AU243" s="406"/>
      <c r="AV243" s="406"/>
      <c r="AW243" s="406"/>
      <c r="AX243" s="406"/>
      <c r="AY243" s="406"/>
      <c r="AZ243" s="406"/>
      <c r="BA243" s="406"/>
      <c r="BB243" s="406"/>
      <c r="BC243" s="406"/>
      <c r="BD243" s="406"/>
      <c r="BE243" s="406"/>
      <c r="BF243" s="406"/>
      <c r="BG243" s="406"/>
      <c r="BH243" s="406"/>
      <c r="BI243" s="406"/>
      <c r="BJ243" s="406"/>
      <c r="BK243" s="406"/>
      <c r="BL243" s="406"/>
      <c r="BM243" s="406"/>
      <c r="BN243" s="406"/>
      <c r="BO243" s="406"/>
      <c r="BP243" s="406"/>
      <c r="BQ243" s="406"/>
      <c r="BR243" s="406"/>
      <c r="BS243" s="406"/>
      <c r="BT243" s="406"/>
      <c r="BU243" s="406"/>
      <c r="BV243" s="406"/>
      <c r="BW243" s="406"/>
      <c r="BX243" s="406"/>
      <c r="BY243" s="406"/>
      <c r="BZ243" s="406"/>
      <c r="CA243" s="406"/>
      <c r="CB243" s="406"/>
      <c r="CC243" s="406"/>
      <c r="CD243" s="406"/>
      <c r="CE243" s="406"/>
      <c r="CF243" s="406"/>
      <c r="CG243" s="406"/>
      <c r="CH243" s="406"/>
      <c r="CI243" s="406"/>
      <c r="CJ243" s="406"/>
      <c r="CK243" s="406"/>
      <c r="CL243" s="406"/>
      <c r="CM243" s="406"/>
      <c r="CN243" s="406"/>
      <c r="CO243" s="406"/>
      <c r="CP243" s="406"/>
      <c r="CQ243" s="406"/>
      <c r="CR243" s="406"/>
      <c r="CS243" s="406"/>
      <c r="CT243" s="406"/>
      <c r="CU243" s="406"/>
      <c r="CV243" s="406"/>
      <c r="CW243" s="406"/>
      <c r="CX243" s="406"/>
      <c r="CY243" s="406"/>
      <c r="CZ243" s="406"/>
      <c r="DA243" s="406"/>
      <c r="DB243" s="406"/>
      <c r="DC243" s="406"/>
      <c r="DD243" s="406"/>
      <c r="DE243" s="406"/>
      <c r="DF243" s="406"/>
      <c r="DG243" s="406"/>
      <c r="DH243" s="406"/>
      <c r="DI243" s="406"/>
      <c r="DJ243" s="406"/>
      <c r="DK243" s="406"/>
      <c r="DL243" s="406"/>
      <c r="DM243" s="406"/>
      <c r="DN243" s="406"/>
      <c r="DO243" s="406"/>
      <c r="DP243" s="406"/>
      <c r="DQ243" s="406"/>
      <c r="DR243" s="406"/>
      <c r="DS243" s="406"/>
      <c r="DT243" s="406"/>
      <c r="DU243" s="406"/>
      <c r="DV243" s="406"/>
      <c r="DW243" s="406"/>
      <c r="DX243" s="406"/>
      <c r="DY243" s="406"/>
      <c r="DZ243" s="406"/>
    </row>
    <row r="244" spans="1:130" s="491" customFormat="1" hidden="1" outlineLevel="3">
      <c r="A244" s="438"/>
      <c r="B244" s="438" t="s">
        <v>298</v>
      </c>
      <c r="C244" s="438" t="str">
        <f>C243</f>
        <v>ЮРЭС</v>
      </c>
      <c r="D244" s="408" t="s">
        <v>391</v>
      </c>
      <c r="E244" s="385"/>
      <c r="F244" s="385"/>
      <c r="G244" s="385"/>
      <c r="H244" s="401" t="s">
        <v>866</v>
      </c>
      <c r="I244" s="385" t="s">
        <v>867</v>
      </c>
      <c r="J244" s="489"/>
      <c r="K244" s="412"/>
      <c r="L244" s="412"/>
      <c r="M244" s="490" t="s">
        <v>37</v>
      </c>
      <c r="N244" s="490">
        <v>2</v>
      </c>
    </row>
    <row r="245" spans="1:130" s="491" customFormat="1" hidden="1" outlineLevel="3">
      <c r="A245" s="438"/>
      <c r="B245" s="438" t="s">
        <v>298</v>
      </c>
      <c r="C245" s="438" t="str">
        <f>C244</f>
        <v>ЮРЭС</v>
      </c>
      <c r="D245" s="408" t="s">
        <v>391</v>
      </c>
      <c r="E245" s="385"/>
      <c r="F245" s="385"/>
      <c r="G245" s="430"/>
      <c r="H245" s="401" t="s">
        <v>868</v>
      </c>
      <c r="I245" s="385" t="s">
        <v>169</v>
      </c>
      <c r="J245" s="489"/>
      <c r="K245" s="412"/>
      <c r="L245" s="412"/>
      <c r="M245" s="490" t="s">
        <v>37</v>
      </c>
      <c r="N245" s="424">
        <v>30</v>
      </c>
    </row>
    <row r="246" spans="1:130" s="491" customFormat="1" hidden="1" outlineLevel="3">
      <c r="A246" s="438"/>
      <c r="B246" s="438" t="s">
        <v>298</v>
      </c>
      <c r="C246" s="438" t="str">
        <f>C245</f>
        <v>ЮРЭС</v>
      </c>
      <c r="D246" s="408" t="s">
        <v>391</v>
      </c>
      <c r="E246" s="385"/>
      <c r="F246" s="385"/>
      <c r="G246" s="430"/>
      <c r="H246" s="401" t="s">
        <v>869</v>
      </c>
      <c r="I246" s="385" t="s">
        <v>845</v>
      </c>
      <c r="J246" s="489"/>
      <c r="K246" s="412"/>
      <c r="L246" s="412"/>
      <c r="M246" s="490" t="s">
        <v>870</v>
      </c>
      <c r="N246" s="424">
        <v>2</v>
      </c>
    </row>
    <row r="247" spans="1:130" s="491" customFormat="1" hidden="1" outlineLevel="3">
      <c r="A247" s="438"/>
      <c r="B247" s="438" t="s">
        <v>298</v>
      </c>
      <c r="C247" s="438" t="str">
        <f>C245</f>
        <v>ЮРЭС</v>
      </c>
      <c r="D247" s="408" t="s">
        <v>391</v>
      </c>
      <c r="E247" s="385"/>
      <c r="F247" s="385"/>
      <c r="G247" s="385"/>
      <c r="H247" s="401" t="s">
        <v>868</v>
      </c>
      <c r="I247" s="385" t="s">
        <v>162</v>
      </c>
      <c r="J247" s="489"/>
      <c r="K247" s="412"/>
      <c r="L247" s="412"/>
      <c r="M247" s="490" t="s">
        <v>95</v>
      </c>
      <c r="N247" s="431">
        <v>0.5</v>
      </c>
    </row>
    <row r="248" spans="1:130" s="407" customFormat="1" ht="81" hidden="1" customHeight="1" outlineLevel="2" collapsed="1">
      <c r="A248" s="489" t="s">
        <v>1284</v>
      </c>
      <c r="B248" s="490" t="s">
        <v>298</v>
      </c>
      <c r="C248" s="398" t="s">
        <v>578</v>
      </c>
      <c r="D248" s="399" t="s">
        <v>391</v>
      </c>
      <c r="E248" s="490" t="s">
        <v>865</v>
      </c>
      <c r="F248" s="385" t="s">
        <v>303</v>
      </c>
      <c r="G248" s="385"/>
      <c r="H248" s="401" t="s">
        <v>1228</v>
      </c>
      <c r="I248" s="385" t="str">
        <f>CONCATENATE(I249," ",N249,M249," ",I250," ",N250,M250," ",I251," ",N251,M251," ",I252," ",N252,M252," ",)</f>
        <v xml:space="preserve">Замена опоры 2шт. Вырубка угрожающих деревьев 19шт. выправка опор 2шт, Ручная расчистка 0,25га. </v>
      </c>
      <c r="J248" s="385" t="s">
        <v>365</v>
      </c>
      <c r="K248" s="450">
        <v>44378</v>
      </c>
      <c r="L248" s="450">
        <v>44408</v>
      </c>
      <c r="M248" s="540"/>
      <c r="N248" s="540"/>
      <c r="O248" s="406"/>
      <c r="P248" s="406"/>
      <c r="Q248" s="406"/>
      <c r="R248" s="406"/>
      <c r="S248" s="406"/>
      <c r="T248" s="406"/>
      <c r="U248" s="406"/>
      <c r="V248" s="406"/>
      <c r="W248" s="406"/>
      <c r="X248" s="406"/>
      <c r="Y248" s="406"/>
      <c r="Z248" s="406"/>
      <c r="AA248" s="406"/>
      <c r="AB248" s="406"/>
      <c r="AC248" s="406"/>
      <c r="AD248" s="406"/>
      <c r="AE248" s="406"/>
      <c r="AF248" s="406"/>
      <c r="AG248" s="406"/>
      <c r="AH248" s="406"/>
      <c r="AI248" s="406"/>
      <c r="AJ248" s="406"/>
      <c r="AK248" s="406"/>
      <c r="AL248" s="406"/>
      <c r="AM248" s="406"/>
      <c r="AN248" s="406"/>
      <c r="AO248" s="406"/>
      <c r="AP248" s="406"/>
      <c r="AQ248" s="406"/>
      <c r="AR248" s="406"/>
      <c r="AS248" s="406"/>
      <c r="AT248" s="406"/>
      <c r="AU248" s="406"/>
      <c r="AV248" s="406"/>
      <c r="AW248" s="406"/>
      <c r="AX248" s="406"/>
      <c r="AY248" s="406"/>
      <c r="AZ248" s="406"/>
      <c r="BA248" s="406"/>
      <c r="BB248" s="406"/>
      <c r="BC248" s="406"/>
      <c r="BD248" s="406"/>
      <c r="BE248" s="406"/>
      <c r="BF248" s="406"/>
      <c r="BG248" s="406"/>
      <c r="BH248" s="406"/>
      <c r="BI248" s="406"/>
      <c r="BJ248" s="406"/>
      <c r="BK248" s="406"/>
      <c r="BL248" s="406"/>
      <c r="BM248" s="406"/>
      <c r="BN248" s="406"/>
      <c r="BO248" s="406"/>
      <c r="BP248" s="406"/>
      <c r="BQ248" s="406"/>
      <c r="BR248" s="406"/>
      <c r="BS248" s="406"/>
      <c r="BT248" s="406"/>
      <c r="BU248" s="406"/>
      <c r="BV248" s="406"/>
      <c r="BW248" s="406"/>
      <c r="BX248" s="406"/>
      <c r="BY248" s="406"/>
      <c r="BZ248" s="406"/>
      <c r="CA248" s="406"/>
      <c r="CB248" s="406"/>
      <c r="CC248" s="406"/>
      <c r="CD248" s="406"/>
      <c r="CE248" s="406"/>
      <c r="CF248" s="406"/>
      <c r="CG248" s="406"/>
      <c r="CH248" s="406"/>
      <c r="CI248" s="406"/>
      <c r="CJ248" s="406"/>
      <c r="CK248" s="406"/>
      <c r="CL248" s="406"/>
      <c r="CM248" s="406"/>
      <c r="CN248" s="406"/>
      <c r="CO248" s="406"/>
      <c r="CP248" s="406"/>
      <c r="CQ248" s="406"/>
      <c r="CR248" s="406"/>
      <c r="CS248" s="406"/>
      <c r="CT248" s="406"/>
      <c r="CU248" s="406"/>
      <c r="CV248" s="406"/>
      <c r="CW248" s="406"/>
      <c r="CX248" s="406"/>
      <c r="CY248" s="406"/>
      <c r="CZ248" s="406"/>
      <c r="DA248" s="406"/>
      <c r="DB248" s="406"/>
      <c r="DC248" s="406"/>
      <c r="DD248" s="406"/>
      <c r="DE248" s="406"/>
      <c r="DF248" s="406"/>
      <c r="DG248" s="406"/>
      <c r="DH248" s="406"/>
      <c r="DI248" s="406"/>
      <c r="DJ248" s="406"/>
      <c r="DK248" s="406"/>
      <c r="DL248" s="406"/>
      <c r="DM248" s="406"/>
      <c r="DN248" s="406"/>
      <c r="DO248" s="406"/>
      <c r="DP248" s="406"/>
      <c r="DQ248" s="406"/>
      <c r="DR248" s="406"/>
      <c r="DS248" s="406"/>
      <c r="DT248" s="406"/>
      <c r="DU248" s="406"/>
      <c r="DV248" s="406"/>
      <c r="DW248" s="406"/>
      <c r="DX248" s="406"/>
      <c r="DY248" s="406"/>
      <c r="DZ248" s="406"/>
    </row>
    <row r="249" spans="1:130" s="491" customFormat="1" hidden="1" outlineLevel="3">
      <c r="A249" s="438"/>
      <c r="B249" s="438" t="s">
        <v>298</v>
      </c>
      <c r="C249" s="438" t="str">
        <f>C248</f>
        <v>ЮРЭС</v>
      </c>
      <c r="D249" s="408" t="s">
        <v>391</v>
      </c>
      <c r="E249" s="385"/>
      <c r="F249" s="385"/>
      <c r="G249" s="385"/>
      <c r="H249" s="401" t="s">
        <v>866</v>
      </c>
      <c r="I249" s="385" t="s">
        <v>867</v>
      </c>
      <c r="J249" s="489"/>
      <c r="K249" s="412"/>
      <c r="L249" s="412"/>
      <c r="M249" s="490" t="s">
        <v>37</v>
      </c>
      <c r="N249" s="490">
        <v>2</v>
      </c>
    </row>
    <row r="250" spans="1:130" s="491" customFormat="1" hidden="1" outlineLevel="3">
      <c r="A250" s="438"/>
      <c r="B250" s="438" t="s">
        <v>298</v>
      </c>
      <c r="C250" s="438" t="str">
        <f>C249</f>
        <v>ЮРЭС</v>
      </c>
      <c r="D250" s="408" t="s">
        <v>391</v>
      </c>
      <c r="E250" s="385"/>
      <c r="F250" s="385"/>
      <c r="G250" s="430"/>
      <c r="H250" s="401" t="s">
        <v>871</v>
      </c>
      <c r="I250" s="385" t="s">
        <v>169</v>
      </c>
      <c r="J250" s="489"/>
      <c r="K250" s="412"/>
      <c r="L250" s="412"/>
      <c r="M250" s="490" t="s">
        <v>37</v>
      </c>
      <c r="N250" s="424">
        <v>19</v>
      </c>
    </row>
    <row r="251" spans="1:130" s="491" customFormat="1" hidden="1" outlineLevel="3">
      <c r="A251" s="438"/>
      <c r="B251" s="438" t="s">
        <v>298</v>
      </c>
      <c r="C251" s="438" t="str">
        <f>C250</f>
        <v>ЮРЭС</v>
      </c>
      <c r="D251" s="408" t="s">
        <v>391</v>
      </c>
      <c r="E251" s="385"/>
      <c r="F251" s="385"/>
      <c r="G251" s="430"/>
      <c r="H251" s="401" t="s">
        <v>872</v>
      </c>
      <c r="I251" s="385" t="s">
        <v>845</v>
      </c>
      <c r="J251" s="489"/>
      <c r="K251" s="412"/>
      <c r="L251" s="412"/>
      <c r="M251" s="490" t="s">
        <v>870</v>
      </c>
      <c r="N251" s="424">
        <v>2</v>
      </c>
    </row>
    <row r="252" spans="1:130" s="491" customFormat="1" hidden="1" outlineLevel="3">
      <c r="A252" s="438"/>
      <c r="B252" s="438" t="s">
        <v>298</v>
      </c>
      <c r="C252" s="438" t="str">
        <f>C250</f>
        <v>ЮРЭС</v>
      </c>
      <c r="D252" s="408" t="s">
        <v>391</v>
      </c>
      <c r="E252" s="385"/>
      <c r="F252" s="385"/>
      <c r="G252" s="385"/>
      <c r="H252" s="401" t="s">
        <v>873</v>
      </c>
      <c r="I252" s="385" t="s">
        <v>162</v>
      </c>
      <c r="J252" s="489"/>
      <c r="K252" s="412"/>
      <c r="L252" s="412"/>
      <c r="M252" s="490" t="s">
        <v>95</v>
      </c>
      <c r="N252" s="431">
        <v>0.25</v>
      </c>
    </row>
    <row r="253" spans="1:130" s="407" customFormat="1" ht="81" hidden="1" customHeight="1" outlineLevel="2" collapsed="1">
      <c r="A253" s="489" t="s">
        <v>1285</v>
      </c>
      <c r="B253" s="490" t="s">
        <v>298</v>
      </c>
      <c r="C253" s="398" t="s">
        <v>578</v>
      </c>
      <c r="D253" s="399" t="s">
        <v>391</v>
      </c>
      <c r="E253" s="385" t="s">
        <v>874</v>
      </c>
      <c r="F253" s="385" t="s">
        <v>303</v>
      </c>
      <c r="G253" s="385"/>
      <c r="H253" s="401" t="s">
        <v>1229</v>
      </c>
      <c r="I253" s="385" t="str">
        <f>CONCATENATE(I254," ",N254,M254," ",)</f>
        <v xml:space="preserve">ручная расчистка 1,43га. </v>
      </c>
      <c r="J253" s="385" t="s">
        <v>365</v>
      </c>
      <c r="K253" s="450">
        <v>44197</v>
      </c>
      <c r="L253" s="450">
        <v>44255</v>
      </c>
      <c r="M253" s="540"/>
      <c r="N253" s="540"/>
      <c r="O253" s="406"/>
      <c r="P253" s="406"/>
      <c r="Q253" s="406"/>
      <c r="R253" s="406"/>
      <c r="S253" s="406"/>
      <c r="T253" s="406"/>
      <c r="U253" s="406"/>
      <c r="V253" s="406"/>
      <c r="W253" s="406"/>
      <c r="X253" s="406"/>
      <c r="Y253" s="406"/>
      <c r="Z253" s="406"/>
      <c r="AA253" s="406"/>
      <c r="AB253" s="406"/>
      <c r="AC253" s="406"/>
      <c r="AD253" s="406"/>
      <c r="AE253" s="406"/>
      <c r="AF253" s="406"/>
      <c r="AG253" s="406"/>
      <c r="AH253" s="406"/>
      <c r="AI253" s="406"/>
      <c r="AJ253" s="406"/>
      <c r="AK253" s="406"/>
      <c r="AL253" s="406"/>
      <c r="AM253" s="406"/>
      <c r="AN253" s="406"/>
      <c r="AO253" s="406"/>
      <c r="AP253" s="406"/>
      <c r="AQ253" s="406"/>
      <c r="AR253" s="406"/>
      <c r="AS253" s="406"/>
      <c r="AT253" s="406"/>
      <c r="AU253" s="406"/>
      <c r="AV253" s="406"/>
      <c r="AW253" s="406"/>
      <c r="AX253" s="406"/>
      <c r="AY253" s="406"/>
      <c r="AZ253" s="406"/>
      <c r="BA253" s="406"/>
      <c r="BB253" s="406"/>
      <c r="BC253" s="406"/>
      <c r="BD253" s="406"/>
      <c r="BE253" s="406"/>
      <c r="BF253" s="406"/>
      <c r="BG253" s="406"/>
      <c r="BH253" s="406"/>
      <c r="BI253" s="406"/>
      <c r="BJ253" s="406"/>
      <c r="BK253" s="406"/>
      <c r="BL253" s="406"/>
      <c r="BM253" s="406"/>
      <c r="BN253" s="406"/>
      <c r="BO253" s="406"/>
      <c r="BP253" s="406"/>
      <c r="BQ253" s="406"/>
      <c r="BR253" s="406"/>
      <c r="BS253" s="406"/>
      <c r="BT253" s="406"/>
      <c r="BU253" s="406"/>
      <c r="BV253" s="406"/>
      <c r="BW253" s="406"/>
      <c r="BX253" s="406"/>
      <c r="BY253" s="406"/>
      <c r="BZ253" s="406"/>
      <c r="CA253" s="406"/>
      <c r="CB253" s="406"/>
      <c r="CC253" s="406"/>
      <c r="CD253" s="406"/>
      <c r="CE253" s="406"/>
      <c r="CF253" s="406"/>
      <c r="CG253" s="406"/>
      <c r="CH253" s="406"/>
      <c r="CI253" s="406"/>
      <c r="CJ253" s="406"/>
      <c r="CK253" s="406"/>
      <c r="CL253" s="406"/>
      <c r="CM253" s="406"/>
      <c r="CN253" s="406"/>
      <c r="CO253" s="406"/>
      <c r="CP253" s="406"/>
      <c r="CQ253" s="406"/>
      <c r="CR253" s="406"/>
      <c r="CS253" s="406"/>
      <c r="CT253" s="406"/>
      <c r="CU253" s="406"/>
      <c r="CV253" s="406"/>
      <c r="CW253" s="406"/>
      <c r="CX253" s="406"/>
      <c r="CY253" s="406"/>
      <c r="CZ253" s="406"/>
      <c r="DA253" s="406"/>
      <c r="DB253" s="406"/>
      <c r="DC253" s="406"/>
      <c r="DD253" s="406"/>
      <c r="DE253" s="406"/>
      <c r="DF253" s="406"/>
      <c r="DG253" s="406"/>
      <c r="DH253" s="406"/>
      <c r="DI253" s="406"/>
      <c r="DJ253" s="406"/>
      <c r="DK253" s="406"/>
      <c r="DL253" s="406"/>
      <c r="DM253" s="406"/>
      <c r="DN253" s="406"/>
      <c r="DO253" s="406"/>
      <c r="DP253" s="406"/>
      <c r="DQ253" s="406"/>
      <c r="DR253" s="406"/>
      <c r="DS253" s="406"/>
      <c r="DT253" s="406"/>
      <c r="DU253" s="406"/>
      <c r="DV253" s="406"/>
      <c r="DW253" s="406"/>
      <c r="DX253" s="406"/>
      <c r="DY253" s="406"/>
      <c r="DZ253" s="406"/>
    </row>
    <row r="254" spans="1:130" s="491" customFormat="1" hidden="1" outlineLevel="3">
      <c r="A254" s="438"/>
      <c r="B254" s="438" t="s">
        <v>298</v>
      </c>
      <c r="C254" s="438" t="s">
        <v>578</v>
      </c>
      <c r="D254" s="408" t="s">
        <v>391</v>
      </c>
      <c r="E254" s="385"/>
      <c r="F254" s="385"/>
      <c r="G254" s="385"/>
      <c r="H254" s="401" t="s">
        <v>1209</v>
      </c>
      <c r="I254" s="385" t="s">
        <v>864</v>
      </c>
      <c r="J254" s="489"/>
      <c r="K254" s="412"/>
      <c r="L254" s="412"/>
      <c r="M254" s="490" t="s">
        <v>95</v>
      </c>
      <c r="N254" s="490">
        <v>1.43</v>
      </c>
    </row>
    <row r="255" spans="1:130" s="407" customFormat="1" ht="81" hidden="1" customHeight="1" outlineLevel="2" collapsed="1">
      <c r="A255" s="489" t="s">
        <v>1286</v>
      </c>
      <c r="B255" s="490" t="s">
        <v>298</v>
      </c>
      <c r="C255" s="398" t="s">
        <v>578</v>
      </c>
      <c r="D255" s="399" t="s">
        <v>391</v>
      </c>
      <c r="E255" s="385" t="s">
        <v>875</v>
      </c>
      <c r="F255" s="385" t="s">
        <v>303</v>
      </c>
      <c r="G255" s="385"/>
      <c r="H255" s="401" t="s">
        <v>1230</v>
      </c>
      <c r="I255" s="385" t="str">
        <f>CONCATENATE(I256," ",N256,M256," ",I257," ",N257,M257)</f>
        <v>замена опор 1шт. выправка опор 1шт.</v>
      </c>
      <c r="J255" s="385" t="s">
        <v>365</v>
      </c>
      <c r="K255" s="450">
        <v>44409</v>
      </c>
      <c r="L255" s="450">
        <v>44439</v>
      </c>
      <c r="M255" s="540"/>
      <c r="N255" s="540"/>
      <c r="O255" s="406"/>
      <c r="P255" s="406"/>
      <c r="Q255" s="406"/>
      <c r="R255" s="406"/>
      <c r="S255" s="406"/>
      <c r="T255" s="406"/>
      <c r="U255" s="406"/>
      <c r="V255" s="406"/>
      <c r="W255" s="406"/>
      <c r="X255" s="406"/>
      <c r="Y255" s="406"/>
      <c r="Z255" s="406"/>
      <c r="AA255" s="406"/>
      <c r="AB255" s="406"/>
      <c r="AC255" s="406"/>
      <c r="AD255" s="406"/>
      <c r="AE255" s="406"/>
      <c r="AF255" s="406"/>
      <c r="AG255" s="406"/>
      <c r="AH255" s="406"/>
      <c r="AI255" s="406"/>
      <c r="AJ255" s="406"/>
      <c r="AK255" s="406"/>
      <c r="AL255" s="406"/>
      <c r="AM255" s="406"/>
      <c r="AN255" s="406"/>
      <c r="AO255" s="406"/>
      <c r="AP255" s="406"/>
      <c r="AQ255" s="406"/>
      <c r="AR255" s="406"/>
      <c r="AS255" s="406"/>
      <c r="AT255" s="406"/>
      <c r="AU255" s="406"/>
      <c r="AV255" s="406"/>
      <c r="AW255" s="406"/>
      <c r="AX255" s="406"/>
      <c r="AY255" s="406"/>
      <c r="AZ255" s="406"/>
      <c r="BA255" s="406"/>
      <c r="BB255" s="406"/>
      <c r="BC255" s="406"/>
      <c r="BD255" s="406"/>
      <c r="BE255" s="406"/>
      <c r="BF255" s="406"/>
      <c r="BG255" s="406"/>
      <c r="BH255" s="406"/>
      <c r="BI255" s="406"/>
      <c r="BJ255" s="406"/>
      <c r="BK255" s="406"/>
      <c r="BL255" s="406"/>
      <c r="BM255" s="406"/>
      <c r="BN255" s="406"/>
      <c r="BO255" s="406"/>
      <c r="BP255" s="406"/>
      <c r="BQ255" s="406"/>
      <c r="BR255" s="406"/>
      <c r="BS255" s="406"/>
      <c r="BT255" s="406"/>
      <c r="BU255" s="406"/>
      <c r="BV255" s="406"/>
      <c r="BW255" s="406"/>
      <c r="BX255" s="406"/>
      <c r="BY255" s="406"/>
      <c r="BZ255" s="406"/>
      <c r="CA255" s="406"/>
      <c r="CB255" s="406"/>
      <c r="CC255" s="406"/>
      <c r="CD255" s="406"/>
      <c r="CE255" s="406"/>
      <c r="CF255" s="406"/>
      <c r="CG255" s="406"/>
      <c r="CH255" s="406"/>
      <c r="CI255" s="406"/>
      <c r="CJ255" s="406"/>
      <c r="CK255" s="406"/>
      <c r="CL255" s="406"/>
      <c r="CM255" s="406"/>
      <c r="CN255" s="406"/>
      <c r="CO255" s="406"/>
      <c r="CP255" s="406"/>
      <c r="CQ255" s="406"/>
      <c r="CR255" s="406"/>
      <c r="CS255" s="406"/>
      <c r="CT255" s="406"/>
      <c r="CU255" s="406"/>
      <c r="CV255" s="406"/>
      <c r="CW255" s="406"/>
      <c r="CX255" s="406"/>
      <c r="CY255" s="406"/>
      <c r="CZ255" s="406"/>
      <c r="DA255" s="406"/>
      <c r="DB255" s="406"/>
      <c r="DC255" s="406"/>
      <c r="DD255" s="406"/>
      <c r="DE255" s="406"/>
      <c r="DF255" s="406"/>
      <c r="DG255" s="406"/>
      <c r="DH255" s="406"/>
      <c r="DI255" s="406"/>
      <c r="DJ255" s="406"/>
      <c r="DK255" s="406"/>
      <c r="DL255" s="406"/>
      <c r="DM255" s="406"/>
      <c r="DN255" s="406"/>
      <c r="DO255" s="406"/>
      <c r="DP255" s="406"/>
      <c r="DQ255" s="406"/>
      <c r="DR255" s="406"/>
      <c r="DS255" s="406"/>
      <c r="DT255" s="406"/>
      <c r="DU255" s="406"/>
      <c r="DV255" s="406"/>
      <c r="DW255" s="406"/>
      <c r="DX255" s="406"/>
      <c r="DY255" s="406"/>
      <c r="DZ255" s="406"/>
    </row>
    <row r="256" spans="1:130" s="491" customFormat="1" hidden="1" outlineLevel="3">
      <c r="A256" s="438"/>
      <c r="B256" s="438" t="s">
        <v>298</v>
      </c>
      <c r="C256" s="438" t="s">
        <v>578</v>
      </c>
      <c r="D256" s="408" t="s">
        <v>391</v>
      </c>
      <c r="E256" s="385"/>
      <c r="F256" s="385"/>
      <c r="G256" s="385"/>
      <c r="H256" s="401" t="s">
        <v>876</v>
      </c>
      <c r="I256" s="385" t="s">
        <v>877</v>
      </c>
      <c r="J256" s="489"/>
      <c r="K256" s="412"/>
      <c r="L256" s="412"/>
      <c r="M256" s="490" t="s">
        <v>37</v>
      </c>
      <c r="N256" s="490">
        <v>1</v>
      </c>
    </row>
    <row r="257" spans="1:130" s="491" customFormat="1" hidden="1" outlineLevel="3">
      <c r="A257" s="438"/>
      <c r="B257" s="438" t="s">
        <v>298</v>
      </c>
      <c r="C257" s="438" t="s">
        <v>578</v>
      </c>
      <c r="D257" s="408" t="s">
        <v>391</v>
      </c>
      <c r="E257" s="385"/>
      <c r="F257" s="385"/>
      <c r="G257" s="385"/>
      <c r="H257" s="401" t="s">
        <v>878</v>
      </c>
      <c r="I257" s="385" t="s">
        <v>845</v>
      </c>
      <c r="J257" s="489"/>
      <c r="K257" s="412"/>
      <c r="L257" s="412"/>
      <c r="M257" s="490" t="s">
        <v>37</v>
      </c>
      <c r="N257" s="490">
        <v>1</v>
      </c>
    </row>
    <row r="258" spans="1:130" s="407" customFormat="1" ht="81" hidden="1" customHeight="1" outlineLevel="2" collapsed="1">
      <c r="A258" s="489" t="s">
        <v>1287</v>
      </c>
      <c r="B258" s="490" t="s">
        <v>298</v>
      </c>
      <c r="C258" s="398" t="s">
        <v>578</v>
      </c>
      <c r="D258" s="399" t="s">
        <v>391</v>
      </c>
      <c r="E258" s="385" t="s">
        <v>879</v>
      </c>
      <c r="F258" s="385" t="s">
        <v>303</v>
      </c>
      <c r="G258" s="385"/>
      <c r="H258" s="401" t="s">
        <v>1231</v>
      </c>
      <c r="I258" s="385" t="str">
        <f>CONCATENATE(I259," ",N259,M259," ",)</f>
        <v xml:space="preserve">Замена опор 1шт. </v>
      </c>
      <c r="J258" s="385" t="s">
        <v>365</v>
      </c>
      <c r="K258" s="450">
        <v>44501</v>
      </c>
      <c r="L258" s="450">
        <v>44530</v>
      </c>
      <c r="M258" s="540"/>
      <c r="N258" s="540"/>
      <c r="O258" s="406"/>
      <c r="P258" s="406"/>
      <c r="Q258" s="406"/>
      <c r="R258" s="406"/>
      <c r="S258" s="406"/>
      <c r="T258" s="406"/>
      <c r="U258" s="406"/>
      <c r="V258" s="406"/>
      <c r="W258" s="406"/>
      <c r="X258" s="406"/>
      <c r="Y258" s="406"/>
      <c r="Z258" s="406"/>
      <c r="AA258" s="406"/>
      <c r="AB258" s="406"/>
      <c r="AC258" s="406"/>
      <c r="AD258" s="406"/>
      <c r="AE258" s="406"/>
      <c r="AF258" s="406"/>
      <c r="AG258" s="406"/>
      <c r="AH258" s="406"/>
      <c r="AI258" s="406"/>
      <c r="AJ258" s="406"/>
      <c r="AK258" s="406"/>
      <c r="AL258" s="406"/>
      <c r="AM258" s="406"/>
      <c r="AN258" s="406"/>
      <c r="AO258" s="406"/>
      <c r="AP258" s="406"/>
      <c r="AQ258" s="406"/>
      <c r="AR258" s="406"/>
      <c r="AS258" s="406"/>
      <c r="AT258" s="406"/>
      <c r="AU258" s="406"/>
      <c r="AV258" s="406"/>
      <c r="AW258" s="406"/>
      <c r="AX258" s="406"/>
      <c r="AY258" s="406"/>
      <c r="AZ258" s="406"/>
      <c r="BA258" s="406"/>
      <c r="BB258" s="406"/>
      <c r="BC258" s="406"/>
      <c r="BD258" s="406"/>
      <c r="BE258" s="406"/>
      <c r="BF258" s="406"/>
      <c r="BG258" s="406"/>
      <c r="BH258" s="406"/>
      <c r="BI258" s="406"/>
      <c r="BJ258" s="406"/>
      <c r="BK258" s="406"/>
      <c r="BL258" s="406"/>
      <c r="BM258" s="406"/>
      <c r="BN258" s="406"/>
      <c r="BO258" s="406"/>
      <c r="BP258" s="406"/>
      <c r="BQ258" s="406"/>
      <c r="BR258" s="406"/>
      <c r="BS258" s="406"/>
      <c r="BT258" s="406"/>
      <c r="BU258" s="406"/>
      <c r="BV258" s="406"/>
      <c r="BW258" s="406"/>
      <c r="BX258" s="406"/>
      <c r="BY258" s="406"/>
      <c r="BZ258" s="406"/>
      <c r="CA258" s="406"/>
      <c r="CB258" s="406"/>
      <c r="CC258" s="406"/>
      <c r="CD258" s="406"/>
      <c r="CE258" s="406"/>
      <c r="CF258" s="406"/>
      <c r="CG258" s="406"/>
      <c r="CH258" s="406"/>
      <c r="CI258" s="406"/>
      <c r="CJ258" s="406"/>
      <c r="CK258" s="406"/>
      <c r="CL258" s="406"/>
      <c r="CM258" s="406"/>
      <c r="CN258" s="406"/>
      <c r="CO258" s="406"/>
      <c r="CP258" s="406"/>
      <c r="CQ258" s="406"/>
      <c r="CR258" s="406"/>
      <c r="CS258" s="406"/>
      <c r="CT258" s="406"/>
      <c r="CU258" s="406"/>
      <c r="CV258" s="406"/>
      <c r="CW258" s="406"/>
      <c r="CX258" s="406"/>
      <c r="CY258" s="406"/>
      <c r="CZ258" s="406"/>
      <c r="DA258" s="406"/>
      <c r="DB258" s="406"/>
      <c r="DC258" s="406"/>
      <c r="DD258" s="406"/>
      <c r="DE258" s="406"/>
      <c r="DF258" s="406"/>
      <c r="DG258" s="406"/>
      <c r="DH258" s="406"/>
      <c r="DI258" s="406"/>
      <c r="DJ258" s="406"/>
      <c r="DK258" s="406"/>
      <c r="DL258" s="406"/>
      <c r="DM258" s="406"/>
      <c r="DN258" s="406"/>
      <c r="DO258" s="406"/>
      <c r="DP258" s="406"/>
      <c r="DQ258" s="406"/>
      <c r="DR258" s="406"/>
      <c r="DS258" s="406"/>
      <c r="DT258" s="406"/>
      <c r="DU258" s="406"/>
      <c r="DV258" s="406"/>
      <c r="DW258" s="406"/>
      <c r="DX258" s="406"/>
      <c r="DY258" s="406"/>
      <c r="DZ258" s="406"/>
    </row>
    <row r="259" spans="1:130" s="491" customFormat="1" hidden="1" outlineLevel="3">
      <c r="A259" s="438"/>
      <c r="B259" s="438" t="s">
        <v>298</v>
      </c>
      <c r="C259" s="438" t="s">
        <v>578</v>
      </c>
      <c r="D259" s="408" t="s">
        <v>391</v>
      </c>
      <c r="E259" s="385"/>
      <c r="F259" s="385"/>
      <c r="G259" s="385"/>
      <c r="H259" s="401" t="s">
        <v>1620</v>
      </c>
      <c r="I259" s="385" t="s">
        <v>39</v>
      </c>
      <c r="J259" s="489"/>
      <c r="K259" s="412"/>
      <c r="L259" s="412"/>
      <c r="M259" s="490" t="s">
        <v>37</v>
      </c>
      <c r="N259" s="490">
        <v>1</v>
      </c>
    </row>
    <row r="260" spans="1:130" s="407" customFormat="1" ht="81" hidden="1" customHeight="1" outlineLevel="2" collapsed="1">
      <c r="A260" s="489" t="s">
        <v>1288</v>
      </c>
      <c r="B260" s="490" t="s">
        <v>298</v>
      </c>
      <c r="C260" s="398" t="s">
        <v>578</v>
      </c>
      <c r="D260" s="399" t="s">
        <v>391</v>
      </c>
      <c r="E260" s="385" t="s">
        <v>880</v>
      </c>
      <c r="F260" s="385" t="s">
        <v>303</v>
      </c>
      <c r="G260" s="385"/>
      <c r="H260" s="401" t="s">
        <v>1802</v>
      </c>
      <c r="I260" s="385" t="str">
        <f>CONCATENATE(I261," ",N261,M261," ",)</f>
        <v xml:space="preserve">ручная расчистка 3,45га. </v>
      </c>
      <c r="J260" s="385" t="s">
        <v>365</v>
      </c>
      <c r="K260" s="450">
        <v>44378</v>
      </c>
      <c r="L260" s="450">
        <v>44408</v>
      </c>
      <c r="M260" s="540"/>
      <c r="N260" s="540"/>
      <c r="O260" s="406"/>
      <c r="P260" s="406"/>
      <c r="Q260" s="406"/>
      <c r="R260" s="406"/>
      <c r="S260" s="406"/>
      <c r="T260" s="406"/>
      <c r="U260" s="406"/>
      <c r="V260" s="406"/>
      <c r="W260" s="406"/>
      <c r="X260" s="406"/>
      <c r="Y260" s="406"/>
      <c r="Z260" s="406"/>
      <c r="AA260" s="406"/>
      <c r="AB260" s="406"/>
      <c r="AC260" s="406"/>
      <c r="AD260" s="406"/>
      <c r="AE260" s="406"/>
      <c r="AF260" s="406"/>
      <c r="AG260" s="406"/>
      <c r="AH260" s="406"/>
      <c r="AI260" s="406"/>
      <c r="AJ260" s="406"/>
      <c r="AK260" s="406"/>
      <c r="AL260" s="406"/>
      <c r="AM260" s="406"/>
      <c r="AN260" s="406"/>
      <c r="AO260" s="406"/>
      <c r="AP260" s="406"/>
      <c r="AQ260" s="406"/>
      <c r="AR260" s="406"/>
      <c r="AS260" s="406"/>
      <c r="AT260" s="406"/>
      <c r="AU260" s="406"/>
      <c r="AV260" s="406"/>
      <c r="AW260" s="406"/>
      <c r="AX260" s="406"/>
      <c r="AY260" s="406"/>
      <c r="AZ260" s="406"/>
      <c r="BA260" s="406"/>
      <c r="BB260" s="406"/>
      <c r="BC260" s="406"/>
      <c r="BD260" s="406"/>
      <c r="BE260" s="406"/>
      <c r="BF260" s="406"/>
      <c r="BG260" s="406"/>
      <c r="BH260" s="406"/>
      <c r="BI260" s="406"/>
      <c r="BJ260" s="406"/>
      <c r="BK260" s="406"/>
      <c r="BL260" s="406"/>
      <c r="BM260" s="406"/>
      <c r="BN260" s="406"/>
      <c r="BO260" s="406"/>
      <c r="BP260" s="406"/>
      <c r="BQ260" s="406"/>
      <c r="BR260" s="406"/>
      <c r="BS260" s="406"/>
      <c r="BT260" s="406"/>
      <c r="BU260" s="406"/>
      <c r="BV260" s="406"/>
      <c r="BW260" s="406"/>
      <c r="BX260" s="406"/>
      <c r="BY260" s="406"/>
      <c r="BZ260" s="406"/>
      <c r="CA260" s="406"/>
      <c r="CB260" s="406"/>
      <c r="CC260" s="406"/>
      <c r="CD260" s="406"/>
      <c r="CE260" s="406"/>
      <c r="CF260" s="406"/>
      <c r="CG260" s="406"/>
      <c r="CH260" s="406"/>
      <c r="CI260" s="406"/>
      <c r="CJ260" s="406"/>
      <c r="CK260" s="406"/>
      <c r="CL260" s="406"/>
      <c r="CM260" s="406"/>
      <c r="CN260" s="406"/>
      <c r="CO260" s="406"/>
      <c r="CP260" s="406"/>
      <c r="CQ260" s="406"/>
      <c r="CR260" s="406"/>
      <c r="CS260" s="406"/>
      <c r="CT260" s="406"/>
      <c r="CU260" s="406"/>
      <c r="CV260" s="406"/>
      <c r="CW260" s="406"/>
      <c r="CX260" s="406"/>
      <c r="CY260" s="406"/>
      <c r="CZ260" s="406"/>
      <c r="DA260" s="406"/>
      <c r="DB260" s="406"/>
      <c r="DC260" s="406"/>
      <c r="DD260" s="406"/>
      <c r="DE260" s="406"/>
      <c r="DF260" s="406"/>
      <c r="DG260" s="406"/>
      <c r="DH260" s="406"/>
      <c r="DI260" s="406"/>
      <c r="DJ260" s="406"/>
      <c r="DK260" s="406"/>
      <c r="DL260" s="406"/>
      <c r="DM260" s="406"/>
      <c r="DN260" s="406"/>
      <c r="DO260" s="406"/>
      <c r="DP260" s="406"/>
      <c r="DQ260" s="406"/>
      <c r="DR260" s="406"/>
      <c r="DS260" s="406"/>
      <c r="DT260" s="406"/>
      <c r="DU260" s="406"/>
      <c r="DV260" s="406"/>
      <c r="DW260" s="406"/>
      <c r="DX260" s="406"/>
      <c r="DY260" s="406"/>
      <c r="DZ260" s="406"/>
    </row>
    <row r="261" spans="1:130" s="491" customFormat="1" hidden="1" outlineLevel="3">
      <c r="A261" s="438"/>
      <c r="B261" s="438" t="s">
        <v>298</v>
      </c>
      <c r="C261" s="438" t="s">
        <v>578</v>
      </c>
      <c r="D261" s="408" t="s">
        <v>391</v>
      </c>
      <c r="E261" s="385"/>
      <c r="F261" s="385"/>
      <c r="G261" s="385"/>
      <c r="H261" s="401" t="s">
        <v>881</v>
      </c>
      <c r="I261" s="385" t="s">
        <v>864</v>
      </c>
      <c r="J261" s="489"/>
      <c r="K261" s="412"/>
      <c r="L261" s="412"/>
      <c r="M261" s="490" t="s">
        <v>95</v>
      </c>
      <c r="N261" s="490">
        <v>3.45</v>
      </c>
    </row>
    <row r="262" spans="1:130" s="407" customFormat="1" ht="81" hidden="1" customHeight="1" outlineLevel="2" collapsed="1">
      <c r="A262" s="489" t="s">
        <v>1289</v>
      </c>
      <c r="B262" s="490" t="s">
        <v>298</v>
      </c>
      <c r="C262" s="398" t="s">
        <v>578</v>
      </c>
      <c r="D262" s="399" t="s">
        <v>391</v>
      </c>
      <c r="E262" s="385" t="s">
        <v>882</v>
      </c>
      <c r="F262" s="385" t="s">
        <v>303</v>
      </c>
      <c r="G262" s="385"/>
      <c r="H262" s="401" t="s">
        <v>1803</v>
      </c>
      <c r="I262" s="385" t="str">
        <f>CONCATENATE(I263," ",N263,M263," ",I264," ",N264,M264)</f>
        <v>ручная расчистка 3,26га. Замена РЛНД 1шт.</v>
      </c>
      <c r="J262" s="385" t="s">
        <v>365</v>
      </c>
      <c r="K262" s="450">
        <v>44409</v>
      </c>
      <c r="L262" s="450">
        <v>44439</v>
      </c>
      <c r="M262" s="540"/>
      <c r="N262" s="540"/>
      <c r="O262" s="406"/>
      <c r="P262" s="406"/>
      <c r="Q262" s="406"/>
      <c r="R262" s="406"/>
      <c r="S262" s="406"/>
      <c r="T262" s="406"/>
      <c r="U262" s="406"/>
      <c r="V262" s="406"/>
      <c r="W262" s="406"/>
      <c r="X262" s="406"/>
      <c r="Y262" s="406"/>
      <c r="Z262" s="406"/>
      <c r="AA262" s="406"/>
      <c r="AB262" s="406"/>
      <c r="AC262" s="406"/>
      <c r="AD262" s="406"/>
      <c r="AE262" s="406"/>
      <c r="AF262" s="406"/>
      <c r="AG262" s="406"/>
      <c r="AH262" s="406"/>
      <c r="AI262" s="406"/>
      <c r="AJ262" s="406"/>
      <c r="AK262" s="406"/>
      <c r="AL262" s="406"/>
      <c r="AM262" s="406"/>
      <c r="AN262" s="406"/>
      <c r="AO262" s="406"/>
      <c r="AP262" s="406"/>
      <c r="AQ262" s="406"/>
      <c r="AR262" s="406"/>
      <c r="AS262" s="406"/>
      <c r="AT262" s="406"/>
      <c r="AU262" s="406"/>
      <c r="AV262" s="406"/>
      <c r="AW262" s="406"/>
      <c r="AX262" s="406"/>
      <c r="AY262" s="406"/>
      <c r="AZ262" s="406"/>
      <c r="BA262" s="406"/>
      <c r="BB262" s="406"/>
      <c r="BC262" s="406"/>
      <c r="BD262" s="406"/>
      <c r="BE262" s="406"/>
      <c r="BF262" s="406"/>
      <c r="BG262" s="406"/>
      <c r="BH262" s="406"/>
      <c r="BI262" s="406"/>
      <c r="BJ262" s="406"/>
      <c r="BK262" s="406"/>
      <c r="BL262" s="406"/>
      <c r="BM262" s="406"/>
      <c r="BN262" s="406"/>
      <c r="BO262" s="406"/>
      <c r="BP262" s="406"/>
      <c r="BQ262" s="406"/>
      <c r="BR262" s="406"/>
      <c r="BS262" s="406"/>
      <c r="BT262" s="406"/>
      <c r="BU262" s="406"/>
      <c r="BV262" s="406"/>
      <c r="BW262" s="406"/>
      <c r="BX262" s="406"/>
      <c r="BY262" s="406"/>
      <c r="BZ262" s="406"/>
      <c r="CA262" s="406"/>
      <c r="CB262" s="406"/>
      <c r="CC262" s="406"/>
      <c r="CD262" s="406"/>
      <c r="CE262" s="406"/>
      <c r="CF262" s="406"/>
      <c r="CG262" s="406"/>
      <c r="CH262" s="406"/>
      <c r="CI262" s="406"/>
      <c r="CJ262" s="406"/>
      <c r="CK262" s="406"/>
      <c r="CL262" s="406"/>
      <c r="CM262" s="406"/>
      <c r="CN262" s="406"/>
      <c r="CO262" s="406"/>
      <c r="CP262" s="406"/>
      <c r="CQ262" s="406"/>
      <c r="CR262" s="406"/>
      <c r="CS262" s="406"/>
      <c r="CT262" s="406"/>
      <c r="CU262" s="406"/>
      <c r="CV262" s="406"/>
      <c r="CW262" s="406"/>
      <c r="CX262" s="406"/>
      <c r="CY262" s="406"/>
      <c r="CZ262" s="406"/>
      <c r="DA262" s="406"/>
      <c r="DB262" s="406"/>
      <c r="DC262" s="406"/>
      <c r="DD262" s="406"/>
      <c r="DE262" s="406"/>
      <c r="DF262" s="406"/>
      <c r="DG262" s="406"/>
      <c r="DH262" s="406"/>
      <c r="DI262" s="406"/>
      <c r="DJ262" s="406"/>
      <c r="DK262" s="406"/>
      <c r="DL262" s="406"/>
      <c r="DM262" s="406"/>
      <c r="DN262" s="406"/>
      <c r="DO262" s="406"/>
      <c r="DP262" s="406"/>
      <c r="DQ262" s="406"/>
      <c r="DR262" s="406"/>
      <c r="DS262" s="406"/>
      <c r="DT262" s="406"/>
      <c r="DU262" s="406"/>
      <c r="DV262" s="406"/>
      <c r="DW262" s="406"/>
      <c r="DX262" s="406"/>
      <c r="DY262" s="406"/>
      <c r="DZ262" s="406"/>
    </row>
    <row r="263" spans="1:130" s="491" customFormat="1" hidden="1" outlineLevel="3">
      <c r="A263" s="438"/>
      <c r="B263" s="438" t="s">
        <v>298</v>
      </c>
      <c r="C263" s="438" t="s">
        <v>578</v>
      </c>
      <c r="D263" s="408" t="s">
        <v>391</v>
      </c>
      <c r="E263" s="385"/>
      <c r="F263" s="385"/>
      <c r="G263" s="385"/>
      <c r="H263" s="401" t="s">
        <v>883</v>
      </c>
      <c r="I263" s="385" t="s">
        <v>864</v>
      </c>
      <c r="J263" s="489"/>
      <c r="K263" s="412"/>
      <c r="L263" s="412"/>
      <c r="M263" s="490" t="s">
        <v>95</v>
      </c>
      <c r="N263" s="490">
        <v>3.26</v>
      </c>
    </row>
    <row r="264" spans="1:130" s="491" customFormat="1" hidden="1" outlineLevel="3">
      <c r="A264" s="438"/>
      <c r="B264" s="438" t="s">
        <v>298</v>
      </c>
      <c r="C264" s="438" t="s">
        <v>578</v>
      </c>
      <c r="D264" s="408" t="s">
        <v>391</v>
      </c>
      <c r="E264" s="385"/>
      <c r="F264" s="385"/>
      <c r="G264" s="385"/>
      <c r="H264" s="401" t="s">
        <v>884</v>
      </c>
      <c r="I264" s="385" t="s">
        <v>187</v>
      </c>
      <c r="J264" s="489"/>
      <c r="K264" s="412"/>
      <c r="L264" s="412"/>
      <c r="M264" s="490" t="s">
        <v>37</v>
      </c>
      <c r="N264" s="490">
        <v>1</v>
      </c>
    </row>
    <row r="265" spans="1:130" s="407" customFormat="1" ht="81" hidden="1" customHeight="1" outlineLevel="2" collapsed="1">
      <c r="A265" s="489" t="s">
        <v>1290</v>
      </c>
      <c r="B265" s="490" t="s">
        <v>298</v>
      </c>
      <c r="C265" s="398" t="s">
        <v>578</v>
      </c>
      <c r="D265" s="399" t="s">
        <v>391</v>
      </c>
      <c r="E265" s="385" t="s">
        <v>880</v>
      </c>
      <c r="F265" s="385" t="s">
        <v>303</v>
      </c>
      <c r="G265" s="385"/>
      <c r="H265" s="401" t="s">
        <v>1804</v>
      </c>
      <c r="I265" s="385" t="str">
        <f>CONCATENATE(I266," ",N266,M266," ",)</f>
        <v xml:space="preserve">ручная расчистка 1,16га. </v>
      </c>
      <c r="J265" s="385" t="s">
        <v>365</v>
      </c>
      <c r="K265" s="450">
        <v>44228</v>
      </c>
      <c r="L265" s="450">
        <v>44255</v>
      </c>
      <c r="M265" s="540"/>
      <c r="N265" s="540"/>
      <c r="O265" s="406"/>
      <c r="P265" s="406"/>
      <c r="Q265" s="406"/>
      <c r="R265" s="406"/>
      <c r="S265" s="406"/>
      <c r="T265" s="406"/>
      <c r="U265" s="406"/>
      <c r="V265" s="406"/>
      <c r="W265" s="406"/>
      <c r="X265" s="406"/>
      <c r="Y265" s="406"/>
      <c r="Z265" s="406"/>
      <c r="AA265" s="406"/>
      <c r="AB265" s="406"/>
      <c r="AC265" s="406"/>
      <c r="AD265" s="406"/>
      <c r="AE265" s="406"/>
      <c r="AF265" s="406"/>
      <c r="AG265" s="406"/>
      <c r="AH265" s="406"/>
      <c r="AI265" s="406"/>
      <c r="AJ265" s="406"/>
      <c r="AK265" s="406"/>
      <c r="AL265" s="406"/>
      <c r="AM265" s="406"/>
      <c r="AN265" s="406"/>
      <c r="AO265" s="406"/>
      <c r="AP265" s="406"/>
      <c r="AQ265" s="406"/>
      <c r="AR265" s="406"/>
      <c r="AS265" s="406"/>
      <c r="AT265" s="406"/>
      <c r="AU265" s="406"/>
      <c r="AV265" s="406"/>
      <c r="AW265" s="406"/>
      <c r="AX265" s="406"/>
      <c r="AY265" s="406"/>
      <c r="AZ265" s="406"/>
      <c r="BA265" s="406"/>
      <c r="BB265" s="406"/>
      <c r="BC265" s="406"/>
      <c r="BD265" s="406"/>
      <c r="BE265" s="406"/>
      <c r="BF265" s="406"/>
      <c r="BG265" s="406"/>
      <c r="BH265" s="406"/>
      <c r="BI265" s="406"/>
      <c r="BJ265" s="406"/>
      <c r="BK265" s="406"/>
      <c r="BL265" s="406"/>
      <c r="BM265" s="406"/>
      <c r="BN265" s="406"/>
      <c r="BO265" s="406"/>
      <c r="BP265" s="406"/>
      <c r="BQ265" s="406"/>
      <c r="BR265" s="406"/>
      <c r="BS265" s="406"/>
      <c r="BT265" s="406"/>
      <c r="BU265" s="406"/>
      <c r="BV265" s="406"/>
      <c r="BW265" s="406"/>
      <c r="BX265" s="406"/>
      <c r="BY265" s="406"/>
      <c r="BZ265" s="406"/>
      <c r="CA265" s="406"/>
      <c r="CB265" s="406"/>
      <c r="CC265" s="406"/>
      <c r="CD265" s="406"/>
      <c r="CE265" s="406"/>
      <c r="CF265" s="406"/>
      <c r="CG265" s="406"/>
      <c r="CH265" s="406"/>
      <c r="CI265" s="406"/>
      <c r="CJ265" s="406"/>
      <c r="CK265" s="406"/>
      <c r="CL265" s="406"/>
      <c r="CM265" s="406"/>
      <c r="CN265" s="406"/>
      <c r="CO265" s="406"/>
      <c r="CP265" s="406"/>
      <c r="CQ265" s="406"/>
      <c r="CR265" s="406"/>
      <c r="CS265" s="406"/>
      <c r="CT265" s="406"/>
      <c r="CU265" s="406"/>
      <c r="CV265" s="406"/>
      <c r="CW265" s="406"/>
      <c r="CX265" s="406"/>
      <c r="CY265" s="406"/>
      <c r="CZ265" s="406"/>
      <c r="DA265" s="406"/>
      <c r="DB265" s="406"/>
      <c r="DC265" s="406"/>
      <c r="DD265" s="406"/>
      <c r="DE265" s="406"/>
      <c r="DF265" s="406"/>
      <c r="DG265" s="406"/>
      <c r="DH265" s="406"/>
      <c r="DI265" s="406"/>
      <c r="DJ265" s="406"/>
      <c r="DK265" s="406"/>
      <c r="DL265" s="406"/>
      <c r="DM265" s="406"/>
      <c r="DN265" s="406"/>
      <c r="DO265" s="406"/>
      <c r="DP265" s="406"/>
      <c r="DQ265" s="406"/>
      <c r="DR265" s="406"/>
      <c r="DS265" s="406"/>
      <c r="DT265" s="406"/>
      <c r="DU265" s="406"/>
      <c r="DV265" s="406"/>
      <c r="DW265" s="406"/>
      <c r="DX265" s="406"/>
      <c r="DY265" s="406"/>
      <c r="DZ265" s="406"/>
    </row>
    <row r="266" spans="1:130" s="491" customFormat="1" hidden="1" outlineLevel="3">
      <c r="A266" s="438"/>
      <c r="B266" s="438" t="s">
        <v>298</v>
      </c>
      <c r="C266" s="438" t="s">
        <v>578</v>
      </c>
      <c r="D266" s="408" t="s">
        <v>391</v>
      </c>
      <c r="E266" s="385"/>
      <c r="F266" s="385"/>
      <c r="G266" s="385"/>
      <c r="H266" s="401" t="s">
        <v>885</v>
      </c>
      <c r="I266" s="385" t="s">
        <v>864</v>
      </c>
      <c r="J266" s="489"/>
      <c r="K266" s="412"/>
      <c r="L266" s="412"/>
      <c r="M266" s="490" t="s">
        <v>95</v>
      </c>
      <c r="N266" s="490">
        <v>1.1599999999999999</v>
      </c>
    </row>
    <row r="267" spans="1:130" s="407" customFormat="1" ht="81" hidden="1" customHeight="1" outlineLevel="2" collapsed="1">
      <c r="A267" s="489" t="s">
        <v>1291</v>
      </c>
      <c r="B267" s="490" t="s">
        <v>298</v>
      </c>
      <c r="C267" s="398" t="s">
        <v>578</v>
      </c>
      <c r="D267" s="399" t="s">
        <v>391</v>
      </c>
      <c r="E267" s="385" t="s">
        <v>882</v>
      </c>
      <c r="F267" s="385" t="s">
        <v>1217</v>
      </c>
      <c r="G267" s="385" t="s">
        <v>1218</v>
      </c>
      <c r="H267" s="401" t="s">
        <v>1232</v>
      </c>
      <c r="I267" s="385" t="str">
        <f>CONCATENATE(I268," ",N268,M268," ",I269," ",N269,M269)</f>
        <v>ручная расчистка 1,48га. обрезка крон деревьев 42шт.</v>
      </c>
      <c r="J267" s="385" t="s">
        <v>365</v>
      </c>
      <c r="K267" s="450">
        <v>44440</v>
      </c>
      <c r="L267" s="450">
        <v>44469</v>
      </c>
      <c r="M267" s="540"/>
      <c r="N267" s="540"/>
      <c r="O267" s="406"/>
      <c r="P267" s="406"/>
      <c r="Q267" s="406"/>
      <c r="R267" s="406"/>
      <c r="S267" s="406"/>
      <c r="T267" s="406"/>
      <c r="U267" s="406"/>
      <c r="V267" s="406"/>
      <c r="W267" s="406"/>
      <c r="X267" s="406"/>
      <c r="Y267" s="406"/>
      <c r="Z267" s="406"/>
      <c r="AA267" s="406"/>
      <c r="AB267" s="406"/>
      <c r="AC267" s="406"/>
      <c r="AD267" s="406"/>
      <c r="AE267" s="406"/>
      <c r="AF267" s="406"/>
      <c r="AG267" s="406"/>
      <c r="AH267" s="406"/>
      <c r="AI267" s="406"/>
      <c r="AJ267" s="406"/>
      <c r="AK267" s="406"/>
      <c r="AL267" s="406"/>
      <c r="AM267" s="406"/>
      <c r="AN267" s="406"/>
      <c r="AO267" s="406"/>
      <c r="AP267" s="406"/>
      <c r="AQ267" s="406"/>
      <c r="AR267" s="406"/>
      <c r="AS267" s="406"/>
      <c r="AT267" s="406"/>
      <c r="AU267" s="406"/>
      <c r="AV267" s="406"/>
      <c r="AW267" s="406"/>
      <c r="AX267" s="406"/>
      <c r="AY267" s="406"/>
      <c r="AZ267" s="406"/>
      <c r="BA267" s="406"/>
      <c r="BB267" s="406"/>
      <c r="BC267" s="406"/>
      <c r="BD267" s="406"/>
      <c r="BE267" s="406"/>
      <c r="BF267" s="406"/>
      <c r="BG267" s="406"/>
      <c r="BH267" s="406"/>
      <c r="BI267" s="406"/>
      <c r="BJ267" s="406"/>
      <c r="BK267" s="406"/>
      <c r="BL267" s="406"/>
      <c r="BM267" s="406"/>
      <c r="BN267" s="406"/>
      <c r="BO267" s="406"/>
      <c r="BP267" s="406"/>
      <c r="BQ267" s="406"/>
      <c r="BR267" s="406"/>
      <c r="BS267" s="406"/>
      <c r="BT267" s="406"/>
      <c r="BU267" s="406"/>
      <c r="BV267" s="406"/>
      <c r="BW267" s="406"/>
      <c r="BX267" s="406"/>
      <c r="BY267" s="406"/>
      <c r="BZ267" s="406"/>
      <c r="CA267" s="406"/>
      <c r="CB267" s="406"/>
      <c r="CC267" s="406"/>
      <c r="CD267" s="406"/>
      <c r="CE267" s="406"/>
      <c r="CF267" s="406"/>
      <c r="CG267" s="406"/>
      <c r="CH267" s="406"/>
      <c r="CI267" s="406"/>
      <c r="CJ267" s="406"/>
      <c r="CK267" s="406"/>
      <c r="CL267" s="406"/>
      <c r="CM267" s="406"/>
      <c r="CN267" s="406"/>
      <c r="CO267" s="406"/>
      <c r="CP267" s="406"/>
      <c r="CQ267" s="406"/>
      <c r="CR267" s="406"/>
      <c r="CS267" s="406"/>
      <c r="CT267" s="406"/>
      <c r="CU267" s="406"/>
      <c r="CV267" s="406"/>
      <c r="CW267" s="406"/>
      <c r="CX267" s="406"/>
      <c r="CY267" s="406"/>
      <c r="CZ267" s="406"/>
      <c r="DA267" s="406"/>
      <c r="DB267" s="406"/>
      <c r="DC267" s="406"/>
      <c r="DD267" s="406"/>
      <c r="DE267" s="406"/>
      <c r="DF267" s="406"/>
      <c r="DG267" s="406"/>
      <c r="DH267" s="406"/>
      <c r="DI267" s="406"/>
      <c r="DJ267" s="406"/>
      <c r="DK267" s="406"/>
      <c r="DL267" s="406"/>
      <c r="DM267" s="406"/>
      <c r="DN267" s="406"/>
      <c r="DO267" s="406"/>
      <c r="DP267" s="406"/>
      <c r="DQ267" s="406"/>
      <c r="DR267" s="406"/>
      <c r="DS267" s="406"/>
      <c r="DT267" s="406"/>
      <c r="DU267" s="406"/>
      <c r="DV267" s="406"/>
      <c r="DW267" s="406"/>
      <c r="DX267" s="406"/>
      <c r="DY267" s="406"/>
      <c r="DZ267" s="406"/>
    </row>
    <row r="268" spans="1:130" s="491" customFormat="1" hidden="1" outlineLevel="3">
      <c r="A268" s="438"/>
      <c r="B268" s="438" t="s">
        <v>298</v>
      </c>
      <c r="C268" s="438" t="s">
        <v>578</v>
      </c>
      <c r="D268" s="408" t="s">
        <v>391</v>
      </c>
      <c r="E268" s="385"/>
      <c r="F268" s="385"/>
      <c r="G268" s="385"/>
      <c r="H268" s="401" t="s">
        <v>886</v>
      </c>
      <c r="I268" s="385" t="s">
        <v>864</v>
      </c>
      <c r="J268" s="489"/>
      <c r="K268" s="412"/>
      <c r="L268" s="412"/>
      <c r="M268" s="490" t="s">
        <v>95</v>
      </c>
      <c r="N268" s="490">
        <v>1.48</v>
      </c>
    </row>
    <row r="269" spans="1:130" s="491" customFormat="1" hidden="1" outlineLevel="3">
      <c r="A269" s="438"/>
      <c r="B269" s="438" t="s">
        <v>298</v>
      </c>
      <c r="C269" s="438" t="s">
        <v>578</v>
      </c>
      <c r="D269" s="408" t="s">
        <v>391</v>
      </c>
      <c r="E269" s="385"/>
      <c r="F269" s="385"/>
      <c r="G269" s="385"/>
      <c r="H269" s="401" t="s">
        <v>886</v>
      </c>
      <c r="I269" s="385" t="s">
        <v>840</v>
      </c>
      <c r="J269" s="489"/>
      <c r="K269" s="412"/>
      <c r="L269" s="412"/>
      <c r="M269" s="490" t="s">
        <v>37</v>
      </c>
      <c r="N269" s="490">
        <v>42</v>
      </c>
    </row>
    <row r="270" spans="1:130" s="407" customFormat="1" ht="81" hidden="1" customHeight="1" outlineLevel="2" collapsed="1">
      <c r="A270" s="489" t="s">
        <v>1756</v>
      </c>
      <c r="B270" s="490" t="s">
        <v>298</v>
      </c>
      <c r="C270" s="398" t="s">
        <v>578</v>
      </c>
      <c r="D270" s="399" t="s">
        <v>391</v>
      </c>
      <c r="E270" s="385" t="s">
        <v>887</v>
      </c>
      <c r="F270" s="385" t="s">
        <v>1217</v>
      </c>
      <c r="G270" s="385" t="s">
        <v>1218</v>
      </c>
      <c r="H270" s="401" t="s">
        <v>1233</v>
      </c>
      <c r="I270" s="385" t="str">
        <f>CONCATENATE(I271," ",N271,M271," ",I272," ",N272,M272,," ",I273," ",N273,M273)</f>
        <v>ручная расчистка 0,72га. Вырубка угрожающих деревьев 5шт. обрезка крон деревьев 28шт.</v>
      </c>
      <c r="J270" s="385" t="s">
        <v>365</v>
      </c>
      <c r="K270" s="450">
        <v>44440</v>
      </c>
      <c r="L270" s="450">
        <v>44469</v>
      </c>
      <c r="M270" s="540"/>
      <c r="N270" s="540"/>
      <c r="O270" s="406"/>
      <c r="P270" s="406"/>
      <c r="Q270" s="406"/>
      <c r="R270" s="406"/>
      <c r="S270" s="406"/>
      <c r="T270" s="406"/>
      <c r="U270" s="406"/>
      <c r="V270" s="406"/>
      <c r="W270" s="406"/>
      <c r="X270" s="406"/>
      <c r="Y270" s="406"/>
      <c r="Z270" s="406"/>
      <c r="AA270" s="406"/>
      <c r="AB270" s="406"/>
      <c r="AC270" s="406"/>
      <c r="AD270" s="406"/>
      <c r="AE270" s="406"/>
      <c r="AF270" s="406"/>
      <c r="AG270" s="406"/>
      <c r="AH270" s="406"/>
      <c r="AI270" s="406"/>
      <c r="AJ270" s="406"/>
      <c r="AK270" s="406"/>
      <c r="AL270" s="406"/>
      <c r="AM270" s="406"/>
      <c r="AN270" s="406"/>
      <c r="AO270" s="406"/>
      <c r="AP270" s="406"/>
      <c r="AQ270" s="406"/>
      <c r="AR270" s="406"/>
      <c r="AS270" s="406"/>
      <c r="AT270" s="406"/>
      <c r="AU270" s="406"/>
      <c r="AV270" s="406"/>
      <c r="AW270" s="406"/>
      <c r="AX270" s="406"/>
      <c r="AY270" s="406"/>
      <c r="AZ270" s="406"/>
      <c r="BA270" s="406"/>
      <c r="BB270" s="406"/>
      <c r="BC270" s="406"/>
      <c r="BD270" s="406"/>
      <c r="BE270" s="406"/>
      <c r="BF270" s="406"/>
      <c r="BG270" s="406"/>
      <c r="BH270" s="406"/>
      <c r="BI270" s="406"/>
      <c r="BJ270" s="406"/>
      <c r="BK270" s="406"/>
      <c r="BL270" s="406"/>
      <c r="BM270" s="406"/>
      <c r="BN270" s="406"/>
      <c r="BO270" s="406"/>
      <c r="BP270" s="406"/>
      <c r="BQ270" s="406"/>
      <c r="BR270" s="406"/>
      <c r="BS270" s="406"/>
      <c r="BT270" s="406"/>
      <c r="BU270" s="406"/>
      <c r="BV270" s="406"/>
      <c r="BW270" s="406"/>
      <c r="BX270" s="406"/>
      <c r="BY270" s="406"/>
      <c r="BZ270" s="406"/>
      <c r="CA270" s="406"/>
      <c r="CB270" s="406"/>
      <c r="CC270" s="406"/>
      <c r="CD270" s="406"/>
      <c r="CE270" s="406"/>
      <c r="CF270" s="406"/>
      <c r="CG270" s="406"/>
      <c r="CH270" s="406"/>
      <c r="CI270" s="406"/>
      <c r="CJ270" s="406"/>
      <c r="CK270" s="406"/>
      <c r="CL270" s="406"/>
      <c r="CM270" s="406"/>
      <c r="CN270" s="406"/>
      <c r="CO270" s="406"/>
      <c r="CP270" s="406"/>
      <c r="CQ270" s="406"/>
      <c r="CR270" s="406"/>
      <c r="CS270" s="406"/>
      <c r="CT270" s="406"/>
      <c r="CU270" s="406"/>
      <c r="CV270" s="406"/>
      <c r="CW270" s="406"/>
      <c r="CX270" s="406"/>
      <c r="CY270" s="406"/>
      <c r="CZ270" s="406"/>
      <c r="DA270" s="406"/>
      <c r="DB270" s="406"/>
      <c r="DC270" s="406"/>
      <c r="DD270" s="406"/>
      <c r="DE270" s="406"/>
      <c r="DF270" s="406"/>
      <c r="DG270" s="406"/>
      <c r="DH270" s="406"/>
      <c r="DI270" s="406"/>
      <c r="DJ270" s="406"/>
      <c r="DK270" s="406"/>
      <c r="DL270" s="406"/>
      <c r="DM270" s="406"/>
      <c r="DN270" s="406"/>
      <c r="DO270" s="406"/>
      <c r="DP270" s="406"/>
      <c r="DQ270" s="406"/>
      <c r="DR270" s="406"/>
      <c r="DS270" s="406"/>
      <c r="DT270" s="406"/>
      <c r="DU270" s="406"/>
      <c r="DV270" s="406"/>
      <c r="DW270" s="406"/>
      <c r="DX270" s="406"/>
      <c r="DY270" s="406"/>
      <c r="DZ270" s="406"/>
    </row>
    <row r="271" spans="1:130" s="491" customFormat="1" ht="40.5" hidden="1" outlineLevel="3">
      <c r="A271" s="438"/>
      <c r="B271" s="438" t="s">
        <v>298</v>
      </c>
      <c r="C271" s="438" t="s">
        <v>578</v>
      </c>
      <c r="D271" s="408" t="s">
        <v>391</v>
      </c>
      <c r="E271" s="385"/>
      <c r="F271" s="385"/>
      <c r="G271" s="385"/>
      <c r="H271" s="401" t="s">
        <v>888</v>
      </c>
      <c r="I271" s="385" t="s">
        <v>864</v>
      </c>
      <c r="J271" s="489"/>
      <c r="K271" s="412"/>
      <c r="L271" s="412"/>
      <c r="M271" s="490" t="s">
        <v>95</v>
      </c>
      <c r="N271" s="490">
        <v>0.72</v>
      </c>
    </row>
    <row r="272" spans="1:130" s="491" customFormat="1" hidden="1" outlineLevel="3">
      <c r="A272" s="438"/>
      <c r="B272" s="438"/>
      <c r="C272" s="438"/>
      <c r="D272" s="408"/>
      <c r="E272" s="385"/>
      <c r="F272" s="385"/>
      <c r="G272" s="385"/>
      <c r="H272" s="401" t="s">
        <v>889</v>
      </c>
      <c r="I272" s="385" t="s">
        <v>169</v>
      </c>
      <c r="J272" s="489"/>
      <c r="K272" s="412"/>
      <c r="L272" s="412"/>
      <c r="M272" s="490" t="s">
        <v>37</v>
      </c>
      <c r="N272" s="424">
        <v>5</v>
      </c>
    </row>
    <row r="273" spans="1:130" s="491" customFormat="1" ht="40.5" hidden="1" outlineLevel="3">
      <c r="A273" s="438"/>
      <c r="B273" s="438" t="s">
        <v>298</v>
      </c>
      <c r="C273" s="438" t="s">
        <v>578</v>
      </c>
      <c r="D273" s="408" t="s">
        <v>391</v>
      </c>
      <c r="E273" s="385"/>
      <c r="F273" s="385"/>
      <c r="G273" s="385"/>
      <c r="H273" s="401" t="s">
        <v>890</v>
      </c>
      <c r="I273" s="385" t="s">
        <v>840</v>
      </c>
      <c r="J273" s="489"/>
      <c r="K273" s="412"/>
      <c r="L273" s="412"/>
      <c r="M273" s="490" t="s">
        <v>37</v>
      </c>
      <c r="N273" s="490">
        <v>28</v>
      </c>
    </row>
    <row r="274" spans="1:130" s="407" customFormat="1" ht="81" hidden="1" customHeight="1" outlineLevel="2" collapsed="1">
      <c r="A274" s="489" t="s">
        <v>1292</v>
      </c>
      <c r="B274" s="490" t="s">
        <v>298</v>
      </c>
      <c r="C274" s="398" t="s">
        <v>578</v>
      </c>
      <c r="D274" s="399" t="s">
        <v>391</v>
      </c>
      <c r="E274" s="385" t="s">
        <v>891</v>
      </c>
      <c r="F274" s="385" t="s">
        <v>303</v>
      </c>
      <c r="G274" s="385"/>
      <c r="H274" s="401" t="s">
        <v>1805</v>
      </c>
      <c r="I274" s="385" t="str">
        <f>CONCATENATE(I275," ",N275,M275," ",I276," ",N276,M276)</f>
        <v>ручная расчистка 2,52га. Замена РЛНД 1шт.</v>
      </c>
      <c r="J274" s="385" t="s">
        <v>365</v>
      </c>
      <c r="K274" s="450">
        <v>44440</v>
      </c>
      <c r="L274" s="450">
        <v>44469</v>
      </c>
      <c r="M274" s="540"/>
      <c r="N274" s="540"/>
      <c r="O274" s="406"/>
      <c r="P274" s="406"/>
      <c r="Q274" s="406"/>
      <c r="R274" s="406"/>
      <c r="S274" s="406"/>
      <c r="T274" s="406"/>
      <c r="U274" s="406"/>
      <c r="V274" s="406"/>
      <c r="W274" s="406"/>
      <c r="X274" s="406"/>
      <c r="Y274" s="406"/>
      <c r="Z274" s="406"/>
      <c r="AA274" s="406"/>
      <c r="AB274" s="406"/>
      <c r="AC274" s="406"/>
      <c r="AD274" s="406"/>
      <c r="AE274" s="406"/>
      <c r="AF274" s="406"/>
      <c r="AG274" s="406"/>
      <c r="AH274" s="406"/>
      <c r="AI274" s="406"/>
      <c r="AJ274" s="406"/>
      <c r="AK274" s="406"/>
      <c r="AL274" s="406"/>
      <c r="AM274" s="406"/>
      <c r="AN274" s="406"/>
      <c r="AO274" s="406"/>
      <c r="AP274" s="406"/>
      <c r="AQ274" s="406"/>
      <c r="AR274" s="406"/>
      <c r="AS274" s="406"/>
      <c r="AT274" s="406"/>
      <c r="AU274" s="406"/>
      <c r="AV274" s="406"/>
      <c r="AW274" s="406"/>
      <c r="AX274" s="406"/>
      <c r="AY274" s="406"/>
      <c r="AZ274" s="406"/>
      <c r="BA274" s="406"/>
      <c r="BB274" s="406"/>
      <c r="BC274" s="406"/>
      <c r="BD274" s="406"/>
      <c r="BE274" s="406"/>
      <c r="BF274" s="406"/>
      <c r="BG274" s="406"/>
      <c r="BH274" s="406"/>
      <c r="BI274" s="406"/>
      <c r="BJ274" s="406"/>
      <c r="BK274" s="406"/>
      <c r="BL274" s="406"/>
      <c r="BM274" s="406"/>
      <c r="BN274" s="406"/>
      <c r="BO274" s="406"/>
      <c r="BP274" s="406"/>
      <c r="BQ274" s="406"/>
      <c r="BR274" s="406"/>
      <c r="BS274" s="406"/>
      <c r="BT274" s="406"/>
      <c r="BU274" s="406"/>
      <c r="BV274" s="406"/>
      <c r="BW274" s="406"/>
      <c r="BX274" s="406"/>
      <c r="BY274" s="406"/>
      <c r="BZ274" s="406"/>
      <c r="CA274" s="406"/>
      <c r="CB274" s="406"/>
      <c r="CC274" s="406"/>
      <c r="CD274" s="406"/>
      <c r="CE274" s="406"/>
      <c r="CF274" s="406"/>
      <c r="CG274" s="406"/>
      <c r="CH274" s="406"/>
      <c r="CI274" s="406"/>
      <c r="CJ274" s="406"/>
      <c r="CK274" s="406"/>
      <c r="CL274" s="406"/>
      <c r="CM274" s="406"/>
      <c r="CN274" s="406"/>
      <c r="CO274" s="406"/>
      <c r="CP274" s="406"/>
      <c r="CQ274" s="406"/>
      <c r="CR274" s="406"/>
      <c r="CS274" s="406"/>
      <c r="CT274" s="406"/>
      <c r="CU274" s="406"/>
      <c r="CV274" s="406"/>
      <c r="CW274" s="406"/>
      <c r="CX274" s="406"/>
      <c r="CY274" s="406"/>
      <c r="CZ274" s="406"/>
      <c r="DA274" s="406"/>
      <c r="DB274" s="406"/>
      <c r="DC274" s="406"/>
      <c r="DD274" s="406"/>
      <c r="DE274" s="406"/>
      <c r="DF274" s="406"/>
      <c r="DG274" s="406"/>
      <c r="DH274" s="406"/>
      <c r="DI274" s="406"/>
      <c r="DJ274" s="406"/>
      <c r="DK274" s="406"/>
      <c r="DL274" s="406"/>
      <c r="DM274" s="406"/>
      <c r="DN274" s="406"/>
      <c r="DO274" s="406"/>
      <c r="DP274" s="406"/>
      <c r="DQ274" s="406"/>
      <c r="DR274" s="406"/>
      <c r="DS274" s="406"/>
      <c r="DT274" s="406"/>
      <c r="DU274" s="406"/>
      <c r="DV274" s="406"/>
      <c r="DW274" s="406"/>
      <c r="DX274" s="406"/>
      <c r="DY274" s="406"/>
      <c r="DZ274" s="406"/>
    </row>
    <row r="275" spans="1:130" s="491" customFormat="1" hidden="1" outlineLevel="3">
      <c r="A275" s="438"/>
      <c r="B275" s="438" t="s">
        <v>298</v>
      </c>
      <c r="C275" s="438" t="s">
        <v>578</v>
      </c>
      <c r="D275" s="408" t="s">
        <v>391</v>
      </c>
      <c r="E275" s="385"/>
      <c r="F275" s="385"/>
      <c r="G275" s="385"/>
      <c r="H275" s="401" t="s">
        <v>892</v>
      </c>
      <c r="I275" s="385" t="s">
        <v>864</v>
      </c>
      <c r="J275" s="489"/>
      <c r="K275" s="412"/>
      <c r="L275" s="412"/>
      <c r="M275" s="490" t="s">
        <v>95</v>
      </c>
      <c r="N275" s="490">
        <v>2.52</v>
      </c>
    </row>
    <row r="276" spans="1:130" s="491" customFormat="1" hidden="1" outlineLevel="3">
      <c r="A276" s="438"/>
      <c r="B276" s="438" t="s">
        <v>298</v>
      </c>
      <c r="C276" s="438" t="s">
        <v>578</v>
      </c>
      <c r="D276" s="408" t="s">
        <v>391</v>
      </c>
      <c r="E276" s="385"/>
      <c r="F276" s="385"/>
      <c r="G276" s="385"/>
      <c r="H276" s="401" t="s">
        <v>893</v>
      </c>
      <c r="I276" s="385" t="s">
        <v>187</v>
      </c>
      <c r="J276" s="489"/>
      <c r="K276" s="412"/>
      <c r="L276" s="412"/>
      <c r="M276" s="490" t="s">
        <v>37</v>
      </c>
      <c r="N276" s="490">
        <v>1</v>
      </c>
    </row>
    <row r="277" spans="1:130" s="407" customFormat="1" ht="81" hidden="1" customHeight="1" outlineLevel="2" collapsed="1">
      <c r="A277" s="489" t="s">
        <v>1293</v>
      </c>
      <c r="B277" s="490" t="s">
        <v>298</v>
      </c>
      <c r="C277" s="398" t="s">
        <v>578</v>
      </c>
      <c r="D277" s="399" t="s">
        <v>391</v>
      </c>
      <c r="E277" s="385" t="s">
        <v>894</v>
      </c>
      <c r="F277" s="385" t="s">
        <v>303</v>
      </c>
      <c r="G277" s="385"/>
      <c r="H277" s="401" t="s">
        <v>1816</v>
      </c>
      <c r="I277" s="385" t="str">
        <f>CONCATENATE(I278," ",N278,M278," ",I279," ",N279,M279)</f>
        <v>ручная расчистка 2,21га. Замена РЛНД 1шт.</v>
      </c>
      <c r="J277" s="385" t="s">
        <v>365</v>
      </c>
      <c r="K277" s="450">
        <v>44470</v>
      </c>
      <c r="L277" s="450">
        <v>44500</v>
      </c>
      <c r="M277" s="540"/>
      <c r="N277" s="540"/>
      <c r="O277" s="406"/>
      <c r="P277" s="406"/>
      <c r="Q277" s="406"/>
      <c r="R277" s="406"/>
      <c r="S277" s="406"/>
      <c r="T277" s="406"/>
      <c r="U277" s="406"/>
      <c r="V277" s="406"/>
      <c r="W277" s="406"/>
      <c r="X277" s="406"/>
      <c r="Y277" s="406"/>
      <c r="Z277" s="406"/>
      <c r="AA277" s="406"/>
      <c r="AB277" s="406"/>
      <c r="AC277" s="406"/>
      <c r="AD277" s="406"/>
      <c r="AE277" s="406"/>
      <c r="AF277" s="406"/>
      <c r="AG277" s="406"/>
      <c r="AH277" s="406"/>
      <c r="AI277" s="406"/>
      <c r="AJ277" s="406"/>
      <c r="AK277" s="406"/>
      <c r="AL277" s="406"/>
      <c r="AM277" s="406"/>
      <c r="AN277" s="406"/>
      <c r="AO277" s="406"/>
      <c r="AP277" s="406"/>
      <c r="AQ277" s="406"/>
      <c r="AR277" s="406"/>
      <c r="AS277" s="406"/>
      <c r="AT277" s="406"/>
      <c r="AU277" s="406"/>
      <c r="AV277" s="406"/>
      <c r="AW277" s="406"/>
      <c r="AX277" s="406"/>
      <c r="AY277" s="406"/>
      <c r="AZ277" s="406"/>
      <c r="BA277" s="406"/>
      <c r="BB277" s="406"/>
      <c r="BC277" s="406"/>
      <c r="BD277" s="406"/>
      <c r="BE277" s="406"/>
      <c r="BF277" s="406"/>
      <c r="BG277" s="406"/>
      <c r="BH277" s="406"/>
      <c r="BI277" s="406"/>
      <c r="BJ277" s="406"/>
      <c r="BK277" s="406"/>
      <c r="BL277" s="406"/>
      <c r="BM277" s="406"/>
      <c r="BN277" s="406"/>
      <c r="BO277" s="406"/>
      <c r="BP277" s="406"/>
      <c r="BQ277" s="406"/>
      <c r="BR277" s="406"/>
      <c r="BS277" s="406"/>
      <c r="BT277" s="406"/>
      <c r="BU277" s="406"/>
      <c r="BV277" s="406"/>
      <c r="BW277" s="406"/>
      <c r="BX277" s="406"/>
      <c r="BY277" s="406"/>
      <c r="BZ277" s="406"/>
      <c r="CA277" s="406"/>
      <c r="CB277" s="406"/>
      <c r="CC277" s="406"/>
      <c r="CD277" s="406"/>
      <c r="CE277" s="406"/>
      <c r="CF277" s="406"/>
      <c r="CG277" s="406"/>
      <c r="CH277" s="406"/>
      <c r="CI277" s="406"/>
      <c r="CJ277" s="406"/>
      <c r="CK277" s="406"/>
      <c r="CL277" s="406"/>
      <c r="CM277" s="406"/>
      <c r="CN277" s="406"/>
      <c r="CO277" s="406"/>
      <c r="CP277" s="406"/>
      <c r="CQ277" s="406"/>
      <c r="CR277" s="406"/>
      <c r="CS277" s="406"/>
      <c r="CT277" s="406"/>
      <c r="CU277" s="406"/>
      <c r="CV277" s="406"/>
      <c r="CW277" s="406"/>
      <c r="CX277" s="406"/>
      <c r="CY277" s="406"/>
      <c r="CZ277" s="406"/>
      <c r="DA277" s="406"/>
      <c r="DB277" s="406"/>
      <c r="DC277" s="406"/>
      <c r="DD277" s="406"/>
      <c r="DE277" s="406"/>
      <c r="DF277" s="406"/>
      <c r="DG277" s="406"/>
      <c r="DH277" s="406"/>
      <c r="DI277" s="406"/>
      <c r="DJ277" s="406"/>
      <c r="DK277" s="406"/>
      <c r="DL277" s="406"/>
      <c r="DM277" s="406"/>
      <c r="DN277" s="406"/>
      <c r="DO277" s="406"/>
      <c r="DP277" s="406"/>
      <c r="DQ277" s="406"/>
      <c r="DR277" s="406"/>
      <c r="DS277" s="406"/>
      <c r="DT277" s="406"/>
      <c r="DU277" s="406"/>
      <c r="DV277" s="406"/>
      <c r="DW277" s="406"/>
      <c r="DX277" s="406"/>
      <c r="DY277" s="406"/>
      <c r="DZ277" s="406"/>
    </row>
    <row r="278" spans="1:130" s="491" customFormat="1" hidden="1" outlineLevel="3">
      <c r="A278" s="438"/>
      <c r="B278" s="438" t="s">
        <v>298</v>
      </c>
      <c r="C278" s="438" t="s">
        <v>578</v>
      </c>
      <c r="D278" s="408" t="s">
        <v>391</v>
      </c>
      <c r="E278" s="385"/>
      <c r="F278" s="385"/>
      <c r="G278" s="385"/>
      <c r="H278" s="401" t="s">
        <v>895</v>
      </c>
      <c r="I278" s="385" t="s">
        <v>864</v>
      </c>
      <c r="J278" s="489"/>
      <c r="K278" s="412"/>
      <c r="L278" s="412"/>
      <c r="M278" s="490" t="s">
        <v>95</v>
      </c>
      <c r="N278" s="490">
        <v>2.21</v>
      </c>
    </row>
    <row r="279" spans="1:130" s="491" customFormat="1" hidden="1" outlineLevel="3">
      <c r="A279" s="438"/>
      <c r="B279" s="438" t="s">
        <v>298</v>
      </c>
      <c r="C279" s="438" t="s">
        <v>578</v>
      </c>
      <c r="D279" s="408" t="s">
        <v>391</v>
      </c>
      <c r="E279" s="385"/>
      <c r="F279" s="385"/>
      <c r="G279" s="385"/>
      <c r="H279" s="401" t="s">
        <v>876</v>
      </c>
      <c r="I279" s="385" t="s">
        <v>187</v>
      </c>
      <c r="J279" s="489"/>
      <c r="K279" s="412"/>
      <c r="L279" s="412"/>
      <c r="M279" s="490" t="s">
        <v>37</v>
      </c>
      <c r="N279" s="490">
        <v>1</v>
      </c>
    </row>
    <row r="280" spans="1:130" s="407" customFormat="1" ht="81" hidden="1" customHeight="1" outlineLevel="2" collapsed="1">
      <c r="A280" s="489" t="s">
        <v>1294</v>
      </c>
      <c r="B280" s="490" t="s">
        <v>298</v>
      </c>
      <c r="C280" s="398" t="s">
        <v>578</v>
      </c>
      <c r="D280" s="399" t="s">
        <v>391</v>
      </c>
      <c r="E280" s="490" t="s">
        <v>896</v>
      </c>
      <c r="F280" s="385" t="s">
        <v>1217</v>
      </c>
      <c r="G280" s="385" t="s">
        <v>1218</v>
      </c>
      <c r="H280" s="401" t="s">
        <v>1806</v>
      </c>
      <c r="I280" s="385" t="str">
        <f>CONCATENATE(I281," ",N281,M281," ",I282," ",N282,M282,," ",I283," ",N283,M283)</f>
        <v>Замена РЛНД 1шт. Вырубка угрожающих деревьев 10шт. Замена траверс 2шт.</v>
      </c>
      <c r="J280" s="385" t="s">
        <v>365</v>
      </c>
      <c r="K280" s="450">
        <v>44378</v>
      </c>
      <c r="L280" s="450">
        <v>44408</v>
      </c>
      <c r="M280" s="540"/>
      <c r="N280" s="540"/>
      <c r="O280" s="406"/>
      <c r="P280" s="406"/>
      <c r="Q280" s="406"/>
      <c r="R280" s="406"/>
      <c r="S280" s="406"/>
      <c r="T280" s="406"/>
      <c r="U280" s="406"/>
      <c r="V280" s="406"/>
      <c r="W280" s="406"/>
      <c r="X280" s="406"/>
      <c r="Y280" s="406"/>
      <c r="Z280" s="406"/>
      <c r="AA280" s="406"/>
      <c r="AB280" s="406"/>
      <c r="AC280" s="406"/>
      <c r="AD280" s="406"/>
      <c r="AE280" s="406"/>
      <c r="AF280" s="406"/>
      <c r="AG280" s="406"/>
      <c r="AH280" s="406"/>
      <c r="AI280" s="406"/>
      <c r="AJ280" s="406"/>
      <c r="AK280" s="406"/>
      <c r="AL280" s="406"/>
      <c r="AM280" s="406"/>
      <c r="AN280" s="406"/>
      <c r="AO280" s="406"/>
      <c r="AP280" s="406"/>
      <c r="AQ280" s="406"/>
      <c r="AR280" s="406"/>
      <c r="AS280" s="406"/>
      <c r="AT280" s="406"/>
      <c r="AU280" s="406"/>
      <c r="AV280" s="406"/>
      <c r="AW280" s="406"/>
      <c r="AX280" s="406"/>
      <c r="AY280" s="406"/>
      <c r="AZ280" s="406"/>
      <c r="BA280" s="406"/>
      <c r="BB280" s="406"/>
      <c r="BC280" s="406"/>
      <c r="BD280" s="406"/>
      <c r="BE280" s="406"/>
      <c r="BF280" s="406"/>
      <c r="BG280" s="406"/>
      <c r="BH280" s="406"/>
      <c r="BI280" s="406"/>
      <c r="BJ280" s="406"/>
      <c r="BK280" s="406"/>
      <c r="BL280" s="406"/>
      <c r="BM280" s="406"/>
      <c r="BN280" s="406"/>
      <c r="BO280" s="406"/>
      <c r="BP280" s="406"/>
      <c r="BQ280" s="406"/>
      <c r="BR280" s="406"/>
      <c r="BS280" s="406"/>
      <c r="BT280" s="406"/>
      <c r="BU280" s="406"/>
      <c r="BV280" s="406"/>
      <c r="BW280" s="406"/>
      <c r="BX280" s="406"/>
      <c r="BY280" s="406"/>
      <c r="BZ280" s="406"/>
      <c r="CA280" s="406"/>
      <c r="CB280" s="406"/>
      <c r="CC280" s="406"/>
      <c r="CD280" s="406"/>
      <c r="CE280" s="406"/>
      <c r="CF280" s="406"/>
      <c r="CG280" s="406"/>
      <c r="CH280" s="406"/>
      <c r="CI280" s="406"/>
      <c r="CJ280" s="406"/>
      <c r="CK280" s="406"/>
      <c r="CL280" s="406"/>
      <c r="CM280" s="406"/>
      <c r="CN280" s="406"/>
      <c r="CO280" s="406"/>
      <c r="CP280" s="406"/>
      <c r="CQ280" s="406"/>
      <c r="CR280" s="406"/>
      <c r="CS280" s="406"/>
      <c r="CT280" s="406"/>
      <c r="CU280" s="406"/>
      <c r="CV280" s="406"/>
      <c r="CW280" s="406"/>
      <c r="CX280" s="406"/>
      <c r="CY280" s="406"/>
      <c r="CZ280" s="406"/>
      <c r="DA280" s="406"/>
      <c r="DB280" s="406"/>
      <c r="DC280" s="406"/>
      <c r="DD280" s="406"/>
      <c r="DE280" s="406"/>
      <c r="DF280" s="406"/>
      <c r="DG280" s="406"/>
      <c r="DH280" s="406"/>
      <c r="DI280" s="406"/>
      <c r="DJ280" s="406"/>
      <c r="DK280" s="406"/>
      <c r="DL280" s="406"/>
      <c r="DM280" s="406"/>
      <c r="DN280" s="406"/>
      <c r="DO280" s="406"/>
      <c r="DP280" s="406"/>
      <c r="DQ280" s="406"/>
      <c r="DR280" s="406"/>
      <c r="DS280" s="406"/>
      <c r="DT280" s="406"/>
      <c r="DU280" s="406"/>
      <c r="DV280" s="406"/>
      <c r="DW280" s="406"/>
      <c r="DX280" s="406"/>
      <c r="DY280" s="406"/>
      <c r="DZ280" s="406"/>
    </row>
    <row r="281" spans="1:130" s="491" customFormat="1" hidden="1" outlineLevel="3">
      <c r="A281" s="438"/>
      <c r="B281" s="438" t="s">
        <v>298</v>
      </c>
      <c r="C281" s="438" t="s">
        <v>578</v>
      </c>
      <c r="D281" s="408" t="s">
        <v>391</v>
      </c>
      <c r="E281" s="385"/>
      <c r="F281" s="385"/>
      <c r="G281" s="385"/>
      <c r="H281" s="401" t="s">
        <v>897</v>
      </c>
      <c r="I281" s="385" t="s">
        <v>187</v>
      </c>
      <c r="J281" s="489"/>
      <c r="K281" s="412"/>
      <c r="L281" s="412"/>
      <c r="M281" s="490" t="s">
        <v>37</v>
      </c>
      <c r="N281" s="490">
        <v>1</v>
      </c>
    </row>
    <row r="282" spans="1:130" s="491" customFormat="1" ht="40.5" hidden="1" outlineLevel="3">
      <c r="A282" s="438"/>
      <c r="B282" s="438" t="s">
        <v>298</v>
      </c>
      <c r="C282" s="438" t="s">
        <v>578</v>
      </c>
      <c r="D282" s="408" t="s">
        <v>391</v>
      </c>
      <c r="E282" s="385"/>
      <c r="F282" s="385"/>
      <c r="G282" s="430"/>
      <c r="H282" s="401" t="s">
        <v>898</v>
      </c>
      <c r="I282" s="385" t="s">
        <v>169</v>
      </c>
      <c r="J282" s="489"/>
      <c r="K282" s="412"/>
      <c r="L282" s="412"/>
      <c r="M282" s="490" t="s">
        <v>37</v>
      </c>
      <c r="N282" s="424">
        <v>10</v>
      </c>
    </row>
    <row r="283" spans="1:130" s="491" customFormat="1" hidden="1" outlineLevel="3">
      <c r="A283" s="438"/>
      <c r="B283" s="438" t="s">
        <v>298</v>
      </c>
      <c r="C283" s="438" t="s">
        <v>578</v>
      </c>
      <c r="D283" s="408" t="s">
        <v>391</v>
      </c>
      <c r="E283" s="385"/>
      <c r="F283" s="385"/>
      <c r="G283" s="385"/>
      <c r="H283" s="401" t="s">
        <v>899</v>
      </c>
      <c r="I283" s="385" t="s">
        <v>177</v>
      </c>
      <c r="J283" s="489"/>
      <c r="K283" s="412"/>
      <c r="L283" s="412"/>
      <c r="M283" s="490" t="s">
        <v>37</v>
      </c>
      <c r="N283" s="431">
        <v>2</v>
      </c>
    </row>
    <row r="284" spans="1:130" s="407" customFormat="1" ht="81" hidden="1" customHeight="1" outlineLevel="2" collapsed="1">
      <c r="A284" s="489" t="s">
        <v>1295</v>
      </c>
      <c r="B284" s="490" t="s">
        <v>298</v>
      </c>
      <c r="C284" s="398" t="s">
        <v>578</v>
      </c>
      <c r="D284" s="399" t="s">
        <v>391</v>
      </c>
      <c r="E284" s="385" t="s">
        <v>1658</v>
      </c>
      <c r="F284" s="385" t="s">
        <v>1217</v>
      </c>
      <c r="G284" s="385" t="s">
        <v>1218</v>
      </c>
      <c r="H284" s="401" t="s">
        <v>1663</v>
      </c>
      <c r="I284" s="385" t="str">
        <f>CONCATENATE(I285," ",N285,M285," ",I286," ",N286,M286," ",I287," ",N287,M287," ",I288," ",N288,M288," ",I289," ",N289,M289," ",)</f>
        <v xml:space="preserve">выправка опор 9шт. переустановка укоса 1шт. Вырубка угрожающих деревьев 11шт, Ручная расчистка 0,48га. Замена опоры 3шт </v>
      </c>
      <c r="J284" s="385" t="s">
        <v>365</v>
      </c>
      <c r="K284" s="450">
        <v>44287</v>
      </c>
      <c r="L284" s="450">
        <v>44439</v>
      </c>
      <c r="M284" s="540"/>
      <c r="N284" s="540"/>
      <c r="O284" s="406"/>
      <c r="P284" s="406"/>
      <c r="Q284" s="406"/>
      <c r="R284" s="406"/>
      <c r="S284" s="406"/>
      <c r="T284" s="406"/>
      <c r="U284" s="406"/>
      <c r="V284" s="406"/>
      <c r="W284" s="406"/>
      <c r="X284" s="406"/>
      <c r="Y284" s="406"/>
      <c r="Z284" s="406"/>
      <c r="AA284" s="406"/>
      <c r="AB284" s="406"/>
      <c r="AC284" s="406"/>
      <c r="AD284" s="406"/>
      <c r="AE284" s="406"/>
      <c r="AF284" s="406"/>
      <c r="AG284" s="406"/>
      <c r="AH284" s="406"/>
      <c r="AI284" s="406"/>
      <c r="AJ284" s="406"/>
      <c r="AK284" s="406"/>
      <c r="AL284" s="406"/>
      <c r="AM284" s="406"/>
      <c r="AN284" s="406"/>
      <c r="AO284" s="406"/>
      <c r="AP284" s="406"/>
      <c r="AQ284" s="406"/>
      <c r="AR284" s="406"/>
      <c r="AS284" s="406"/>
      <c r="AT284" s="406"/>
      <c r="AU284" s="406"/>
      <c r="AV284" s="406"/>
      <c r="AW284" s="406"/>
      <c r="AX284" s="406"/>
      <c r="AY284" s="406"/>
      <c r="AZ284" s="406"/>
      <c r="BA284" s="406"/>
      <c r="BB284" s="406"/>
      <c r="BC284" s="406"/>
      <c r="BD284" s="406"/>
      <c r="BE284" s="406"/>
      <c r="BF284" s="406"/>
      <c r="BG284" s="406"/>
      <c r="BH284" s="406"/>
      <c r="BI284" s="406"/>
      <c r="BJ284" s="406"/>
      <c r="BK284" s="406"/>
      <c r="BL284" s="406"/>
      <c r="BM284" s="406"/>
      <c r="BN284" s="406"/>
      <c r="BO284" s="406"/>
      <c r="BP284" s="406"/>
      <c r="BQ284" s="406"/>
      <c r="BR284" s="406"/>
      <c r="BS284" s="406"/>
      <c r="BT284" s="406"/>
      <c r="BU284" s="406"/>
      <c r="BV284" s="406"/>
      <c r="BW284" s="406"/>
      <c r="BX284" s="406"/>
      <c r="BY284" s="406"/>
      <c r="BZ284" s="406"/>
      <c r="CA284" s="406"/>
      <c r="CB284" s="406"/>
      <c r="CC284" s="406"/>
      <c r="CD284" s="406"/>
      <c r="CE284" s="406"/>
      <c r="CF284" s="406"/>
      <c r="CG284" s="406"/>
      <c r="CH284" s="406"/>
      <c r="CI284" s="406"/>
      <c r="CJ284" s="406"/>
      <c r="CK284" s="406"/>
      <c r="CL284" s="406"/>
      <c r="CM284" s="406"/>
      <c r="CN284" s="406"/>
      <c r="CO284" s="406"/>
      <c r="CP284" s="406"/>
      <c r="CQ284" s="406"/>
      <c r="CR284" s="406"/>
      <c r="CS284" s="406"/>
      <c r="CT284" s="406"/>
      <c r="CU284" s="406"/>
      <c r="CV284" s="406"/>
      <c r="CW284" s="406"/>
      <c r="CX284" s="406"/>
      <c r="CY284" s="406"/>
      <c r="CZ284" s="406"/>
      <c r="DA284" s="406"/>
      <c r="DB284" s="406"/>
      <c r="DC284" s="406"/>
      <c r="DD284" s="406"/>
      <c r="DE284" s="406"/>
      <c r="DF284" s="406"/>
      <c r="DG284" s="406"/>
      <c r="DH284" s="406"/>
      <c r="DI284" s="406"/>
      <c r="DJ284" s="406"/>
      <c r="DK284" s="406"/>
      <c r="DL284" s="406"/>
      <c r="DM284" s="406"/>
      <c r="DN284" s="406"/>
      <c r="DO284" s="406"/>
      <c r="DP284" s="406"/>
      <c r="DQ284" s="406"/>
      <c r="DR284" s="406"/>
      <c r="DS284" s="406"/>
      <c r="DT284" s="406"/>
      <c r="DU284" s="406"/>
      <c r="DV284" s="406"/>
      <c r="DW284" s="406"/>
      <c r="DX284" s="406"/>
      <c r="DY284" s="406"/>
      <c r="DZ284" s="406"/>
    </row>
    <row r="285" spans="1:130" s="491" customFormat="1" hidden="1" outlineLevel="2">
      <c r="A285" s="438"/>
      <c r="B285" s="438" t="s">
        <v>298</v>
      </c>
      <c r="C285" s="438" t="str">
        <f>C284</f>
        <v>ЮРЭС</v>
      </c>
      <c r="D285" s="408" t="s">
        <v>391</v>
      </c>
      <c r="E285" s="385"/>
      <c r="F285" s="385"/>
      <c r="G285" s="385"/>
      <c r="H285" s="401" t="s">
        <v>1659</v>
      </c>
      <c r="I285" s="385" t="s">
        <v>845</v>
      </c>
      <c r="J285" s="489"/>
      <c r="K285" s="412"/>
      <c r="L285" s="412"/>
      <c r="M285" s="490" t="s">
        <v>37</v>
      </c>
      <c r="N285" s="490">
        <v>9</v>
      </c>
    </row>
    <row r="286" spans="1:130" s="491" customFormat="1" hidden="1" outlineLevel="2">
      <c r="A286" s="438"/>
      <c r="B286" s="438" t="s">
        <v>298</v>
      </c>
      <c r="C286" s="438" t="str">
        <f>C285</f>
        <v>ЮРЭС</v>
      </c>
      <c r="D286" s="408" t="s">
        <v>391</v>
      </c>
      <c r="E286" s="385"/>
      <c r="F286" s="385"/>
      <c r="G286" s="430"/>
      <c r="H286" s="401" t="s">
        <v>876</v>
      </c>
      <c r="I286" s="385" t="s">
        <v>1660</v>
      </c>
      <c r="J286" s="489"/>
      <c r="K286" s="412"/>
      <c r="L286" s="412"/>
      <c r="M286" s="490" t="s">
        <v>37</v>
      </c>
      <c r="N286" s="424">
        <v>1</v>
      </c>
    </row>
    <row r="287" spans="1:130" s="491" customFormat="1" hidden="1" outlineLevel="2">
      <c r="A287" s="438"/>
      <c r="B287" s="438" t="s">
        <v>298</v>
      </c>
      <c r="C287" s="438" t="str">
        <f>C284</f>
        <v>ЮРЭС</v>
      </c>
      <c r="D287" s="408" t="s">
        <v>391</v>
      </c>
      <c r="E287" s="385"/>
      <c r="F287" s="385"/>
      <c r="G287" s="430"/>
      <c r="H287" s="401" t="s">
        <v>1661</v>
      </c>
      <c r="I287" s="385" t="s">
        <v>169</v>
      </c>
      <c r="J287" s="489"/>
      <c r="K287" s="412"/>
      <c r="L287" s="412"/>
      <c r="M287" s="490" t="s">
        <v>870</v>
      </c>
      <c r="N287" s="424">
        <v>11</v>
      </c>
    </row>
    <row r="288" spans="1:130" s="491" customFormat="1" hidden="1" outlineLevel="2">
      <c r="A288" s="438"/>
      <c r="B288" s="438" t="s">
        <v>298</v>
      </c>
      <c r="C288" s="438" t="str">
        <f>C284</f>
        <v>ЮРЭС</v>
      </c>
      <c r="D288" s="408" t="s">
        <v>391</v>
      </c>
      <c r="E288" s="385"/>
      <c r="F288" s="385"/>
      <c r="G288" s="385"/>
      <c r="H288" s="401" t="s">
        <v>1662</v>
      </c>
      <c r="I288" s="385" t="s">
        <v>162</v>
      </c>
      <c r="J288" s="489"/>
      <c r="K288" s="412"/>
      <c r="L288" s="412"/>
      <c r="M288" s="490" t="s">
        <v>95</v>
      </c>
      <c r="N288" s="431">
        <v>0.48</v>
      </c>
    </row>
    <row r="289" spans="1:130" s="491" customFormat="1" hidden="1" outlineLevel="2">
      <c r="A289" s="438"/>
      <c r="B289" s="438" t="s">
        <v>298</v>
      </c>
      <c r="C289" s="438" t="str">
        <f>C286</f>
        <v>ЮРЭС</v>
      </c>
      <c r="D289" s="408" t="s">
        <v>391</v>
      </c>
      <c r="E289" s="385"/>
      <c r="F289" s="385"/>
      <c r="G289" s="430"/>
      <c r="H289" s="401" t="s">
        <v>3710</v>
      </c>
      <c r="I289" s="385" t="s">
        <v>867</v>
      </c>
      <c r="J289" s="489"/>
      <c r="K289" s="412"/>
      <c r="L289" s="412"/>
      <c r="M289" s="490" t="s">
        <v>813</v>
      </c>
      <c r="N289" s="424">
        <v>3</v>
      </c>
    </row>
    <row r="290" spans="1:130" s="406" customFormat="1" ht="40.5" hidden="1" outlineLevel="2">
      <c r="A290" s="489" t="s">
        <v>1554</v>
      </c>
      <c r="B290" s="490" t="s">
        <v>54</v>
      </c>
      <c r="C290" s="398" t="s">
        <v>578</v>
      </c>
      <c r="D290" s="399" t="s">
        <v>391</v>
      </c>
      <c r="E290" s="490" t="s">
        <v>1507</v>
      </c>
      <c r="F290" s="385" t="s">
        <v>303</v>
      </c>
      <c r="G290" s="385"/>
      <c r="H290" s="401" t="s">
        <v>3711</v>
      </c>
      <c r="I290" s="385" t="s">
        <v>1509</v>
      </c>
      <c r="J290" s="385" t="s">
        <v>365</v>
      </c>
      <c r="K290" s="450">
        <v>44228</v>
      </c>
      <c r="L290" s="450">
        <v>44469</v>
      </c>
      <c r="M290" s="540"/>
      <c r="N290" s="540"/>
    </row>
    <row r="291" spans="1:130" s="491" customFormat="1" hidden="1" outlineLevel="2">
      <c r="A291" s="575"/>
      <c r="B291" s="438" t="s">
        <v>54</v>
      </c>
      <c r="C291" s="438" t="s">
        <v>578</v>
      </c>
      <c r="D291" s="408" t="s">
        <v>391</v>
      </c>
      <c r="E291" s="385"/>
      <c r="F291" s="385"/>
      <c r="G291" s="385"/>
      <c r="H291" s="401" t="s">
        <v>1508</v>
      </c>
      <c r="I291" s="385" t="s">
        <v>845</v>
      </c>
      <c r="J291" s="489"/>
      <c r="K291" s="412"/>
      <c r="L291" s="412"/>
      <c r="M291" s="490" t="s">
        <v>37</v>
      </c>
      <c r="N291" s="490">
        <v>5</v>
      </c>
    </row>
    <row r="292" spans="1:130" s="491" customFormat="1" hidden="1" outlineLevel="2">
      <c r="A292" s="576"/>
      <c r="B292" s="438" t="s">
        <v>54</v>
      </c>
      <c r="C292" s="438" t="s">
        <v>578</v>
      </c>
      <c r="D292" s="408" t="s">
        <v>391</v>
      </c>
      <c r="E292" s="385"/>
      <c r="F292" s="385"/>
      <c r="G292" s="430"/>
      <c r="H292" s="401" t="s">
        <v>1508</v>
      </c>
      <c r="I292" s="385" t="s">
        <v>979</v>
      </c>
      <c r="J292" s="489"/>
      <c r="K292" s="412"/>
      <c r="L292" s="412"/>
      <c r="M292" s="490" t="s">
        <v>37</v>
      </c>
      <c r="N292" s="424">
        <v>5</v>
      </c>
    </row>
    <row r="293" spans="1:130" s="406" customFormat="1" ht="101.25" hidden="1" outlineLevel="2">
      <c r="A293" s="489" t="s">
        <v>1296</v>
      </c>
      <c r="B293" s="490" t="s">
        <v>54</v>
      </c>
      <c r="C293" s="398" t="s">
        <v>578</v>
      </c>
      <c r="D293" s="399" t="s">
        <v>391</v>
      </c>
      <c r="E293" s="490" t="s">
        <v>1507</v>
      </c>
      <c r="F293" s="385" t="s">
        <v>1735</v>
      </c>
      <c r="G293" s="385" t="s">
        <v>1736</v>
      </c>
      <c r="H293" s="401" t="s">
        <v>3712</v>
      </c>
      <c r="I293" s="385" t="str">
        <f>CONCATENATE(I294," ",N294,M294," ",I295," ",N295,M295," ",I296," ",N296,M296," ",I297,N297," ",M297," ",I298," ",N298,M298," ",I299," ",N299,M299)</f>
        <v>демонтаж опор 9шт. демонтаж провода (по трассе) 1,26км монтаж опор 9шт. монтаж провода (по трассе)1,26 км обваловка опор 59шт. выправка опор 50шт.</v>
      </c>
      <c r="J293" s="385" t="s">
        <v>365</v>
      </c>
      <c r="K293" s="450">
        <v>44228</v>
      </c>
      <c r="L293" s="450">
        <v>44469</v>
      </c>
      <c r="M293" s="540"/>
      <c r="N293" s="540"/>
    </row>
    <row r="294" spans="1:130" s="491" customFormat="1" ht="40.5" hidden="1" outlineLevel="2">
      <c r="A294" s="575"/>
      <c r="B294" s="438" t="s">
        <v>54</v>
      </c>
      <c r="C294" s="438" t="s">
        <v>578</v>
      </c>
      <c r="D294" s="408" t="s">
        <v>391</v>
      </c>
      <c r="E294" s="385"/>
      <c r="F294" s="385"/>
      <c r="G294" s="385"/>
      <c r="H294" s="401" t="s">
        <v>1512</v>
      </c>
      <c r="I294" s="385" t="s">
        <v>932</v>
      </c>
      <c r="J294" s="489"/>
      <c r="K294" s="412"/>
      <c r="L294" s="412"/>
      <c r="M294" s="490" t="s">
        <v>37</v>
      </c>
      <c r="N294" s="490">
        <v>9</v>
      </c>
    </row>
    <row r="295" spans="1:130" s="491" customFormat="1" ht="40.5" hidden="1" outlineLevel="2">
      <c r="A295" s="577"/>
      <c r="B295" s="438" t="s">
        <v>54</v>
      </c>
      <c r="C295" s="438" t="s">
        <v>578</v>
      </c>
      <c r="D295" s="408" t="s">
        <v>391</v>
      </c>
      <c r="E295" s="385"/>
      <c r="F295" s="385"/>
      <c r="G295" s="430"/>
      <c r="H295" s="401" t="s">
        <v>1511</v>
      </c>
      <c r="I295" s="385" t="s">
        <v>912</v>
      </c>
      <c r="J295" s="489"/>
      <c r="K295" s="412"/>
      <c r="L295" s="412"/>
      <c r="M295" s="490" t="s">
        <v>308</v>
      </c>
      <c r="N295" s="424">
        <v>1.26</v>
      </c>
    </row>
    <row r="296" spans="1:130" s="491" customFormat="1" ht="40.5" hidden="1" outlineLevel="2">
      <c r="A296" s="577"/>
      <c r="B296" s="438" t="s">
        <v>54</v>
      </c>
      <c r="C296" s="438" t="s">
        <v>578</v>
      </c>
      <c r="D296" s="408" t="s">
        <v>391</v>
      </c>
      <c r="E296" s="385"/>
      <c r="F296" s="385"/>
      <c r="G296" s="385"/>
      <c r="H296" s="401" t="s">
        <v>1512</v>
      </c>
      <c r="I296" s="385" t="s">
        <v>1005</v>
      </c>
      <c r="J296" s="489"/>
      <c r="K296" s="412"/>
      <c r="L296" s="412"/>
      <c r="M296" s="490" t="s">
        <v>37</v>
      </c>
      <c r="N296" s="431">
        <v>9</v>
      </c>
    </row>
    <row r="297" spans="1:130" s="491" customFormat="1" ht="40.5" hidden="1" outlineLevel="2">
      <c r="A297" s="577"/>
      <c r="B297" s="438" t="s">
        <v>54</v>
      </c>
      <c r="C297" s="438" t="s">
        <v>578</v>
      </c>
      <c r="D297" s="408" t="s">
        <v>391</v>
      </c>
      <c r="E297" s="385"/>
      <c r="F297" s="385"/>
      <c r="G297" s="385"/>
      <c r="H297" s="401" t="s">
        <v>1511</v>
      </c>
      <c r="I297" s="385" t="s">
        <v>914</v>
      </c>
      <c r="J297" s="489"/>
      <c r="K297" s="412"/>
      <c r="L297" s="412"/>
      <c r="M297" s="490" t="s">
        <v>308</v>
      </c>
      <c r="N297" s="431">
        <v>1.26</v>
      </c>
    </row>
    <row r="298" spans="1:130" s="491" customFormat="1" ht="101.25" hidden="1" outlineLevel="2">
      <c r="A298" s="577"/>
      <c r="B298" s="438" t="s">
        <v>54</v>
      </c>
      <c r="C298" s="438" t="s">
        <v>578</v>
      </c>
      <c r="D298" s="408" t="s">
        <v>391</v>
      </c>
      <c r="E298" s="385"/>
      <c r="F298" s="385"/>
      <c r="G298" s="385"/>
      <c r="H298" s="401" t="s">
        <v>1510</v>
      </c>
      <c r="I298" s="385" t="s">
        <v>979</v>
      </c>
      <c r="J298" s="489"/>
      <c r="K298" s="412"/>
      <c r="L298" s="412"/>
      <c r="M298" s="490" t="s">
        <v>37</v>
      </c>
      <c r="N298" s="431">
        <f>11+39+9</f>
        <v>59</v>
      </c>
    </row>
    <row r="299" spans="1:130" s="491" customFormat="1" ht="101.25" hidden="1" outlineLevel="2">
      <c r="A299" s="576"/>
      <c r="B299" s="438" t="s">
        <v>54</v>
      </c>
      <c r="C299" s="438" t="s">
        <v>578</v>
      </c>
      <c r="D299" s="408" t="s">
        <v>391</v>
      </c>
      <c r="E299" s="385"/>
      <c r="F299" s="385"/>
      <c r="G299" s="385"/>
      <c r="H299" s="401" t="s">
        <v>1510</v>
      </c>
      <c r="I299" s="385" t="s">
        <v>845</v>
      </c>
      <c r="J299" s="489"/>
      <c r="K299" s="412"/>
      <c r="L299" s="412"/>
      <c r="M299" s="490" t="s">
        <v>37</v>
      </c>
      <c r="N299" s="431">
        <v>50</v>
      </c>
    </row>
    <row r="300" spans="1:130" s="407" customFormat="1" ht="81" hidden="1" customHeight="1" outlineLevel="2" collapsed="1">
      <c r="A300" s="489" t="s">
        <v>1757</v>
      </c>
      <c r="B300" s="490" t="s">
        <v>298</v>
      </c>
      <c r="C300" s="398" t="s">
        <v>578</v>
      </c>
      <c r="D300" s="399" t="s">
        <v>391</v>
      </c>
      <c r="E300" s="385" t="s">
        <v>859</v>
      </c>
      <c r="F300" s="385" t="s">
        <v>303</v>
      </c>
      <c r="G300" s="385"/>
      <c r="H300" s="401" t="s">
        <v>1224</v>
      </c>
      <c r="I300" s="385" t="str">
        <f>CONCATENATE(I301," ",N301,M301," ",)</f>
        <v xml:space="preserve">Замена опор 1шт. </v>
      </c>
      <c r="J300" s="385" t="s">
        <v>365</v>
      </c>
      <c r="K300" s="450">
        <v>44440</v>
      </c>
      <c r="L300" s="450">
        <v>44469</v>
      </c>
      <c r="M300" s="540"/>
      <c r="N300" s="540"/>
      <c r="O300" s="406"/>
      <c r="P300" s="406"/>
      <c r="Q300" s="406"/>
      <c r="R300" s="406"/>
      <c r="S300" s="406"/>
      <c r="T300" s="406"/>
      <c r="U300" s="406"/>
      <c r="V300" s="406"/>
      <c r="W300" s="406"/>
      <c r="X300" s="406"/>
      <c r="Y300" s="406"/>
      <c r="Z300" s="406"/>
      <c r="AA300" s="406"/>
      <c r="AB300" s="406"/>
      <c r="AC300" s="406"/>
      <c r="AD300" s="406"/>
      <c r="AE300" s="406"/>
      <c r="AF300" s="406"/>
      <c r="AG300" s="406"/>
      <c r="AH300" s="406"/>
      <c r="AI300" s="406"/>
      <c r="AJ300" s="406"/>
      <c r="AK300" s="406"/>
      <c r="AL300" s="406"/>
      <c r="AM300" s="406"/>
      <c r="AN300" s="406"/>
      <c r="AO300" s="406"/>
      <c r="AP300" s="406"/>
      <c r="AQ300" s="406"/>
      <c r="AR300" s="406"/>
      <c r="AS300" s="406"/>
      <c r="AT300" s="406"/>
      <c r="AU300" s="406"/>
      <c r="AV300" s="406"/>
      <c r="AW300" s="406"/>
      <c r="AX300" s="406"/>
      <c r="AY300" s="406"/>
      <c r="AZ300" s="406"/>
      <c r="BA300" s="406"/>
      <c r="BB300" s="406"/>
      <c r="BC300" s="406"/>
      <c r="BD300" s="406"/>
      <c r="BE300" s="406"/>
      <c r="BF300" s="406"/>
      <c r="BG300" s="406"/>
      <c r="BH300" s="406"/>
      <c r="BI300" s="406"/>
      <c r="BJ300" s="406"/>
      <c r="BK300" s="406"/>
      <c r="BL300" s="406"/>
      <c r="BM300" s="406"/>
      <c r="BN300" s="406"/>
      <c r="BO300" s="406"/>
      <c r="BP300" s="406"/>
      <c r="BQ300" s="406"/>
      <c r="BR300" s="406"/>
      <c r="BS300" s="406"/>
      <c r="BT300" s="406"/>
      <c r="BU300" s="406"/>
      <c r="BV300" s="406"/>
      <c r="BW300" s="406"/>
      <c r="BX300" s="406"/>
      <c r="BY300" s="406"/>
      <c r="BZ300" s="406"/>
      <c r="CA300" s="406"/>
      <c r="CB300" s="406"/>
      <c r="CC300" s="406"/>
      <c r="CD300" s="406"/>
      <c r="CE300" s="406"/>
      <c r="CF300" s="406"/>
      <c r="CG300" s="406"/>
      <c r="CH300" s="406"/>
      <c r="CI300" s="406"/>
      <c r="CJ300" s="406"/>
      <c r="CK300" s="406"/>
      <c r="CL300" s="406"/>
      <c r="CM300" s="406"/>
      <c r="CN300" s="406"/>
      <c r="CO300" s="406"/>
      <c r="CP300" s="406"/>
      <c r="CQ300" s="406"/>
      <c r="CR300" s="406"/>
      <c r="CS300" s="406"/>
      <c r="CT300" s="406"/>
      <c r="CU300" s="406"/>
      <c r="CV300" s="406"/>
      <c r="CW300" s="406"/>
      <c r="CX300" s="406"/>
      <c r="CY300" s="406"/>
      <c r="CZ300" s="406"/>
      <c r="DA300" s="406"/>
      <c r="DB300" s="406"/>
      <c r="DC300" s="406"/>
      <c r="DD300" s="406"/>
      <c r="DE300" s="406"/>
      <c r="DF300" s="406"/>
      <c r="DG300" s="406"/>
      <c r="DH300" s="406"/>
      <c r="DI300" s="406"/>
      <c r="DJ300" s="406"/>
      <c r="DK300" s="406"/>
      <c r="DL300" s="406"/>
      <c r="DM300" s="406"/>
      <c r="DN300" s="406"/>
      <c r="DO300" s="406"/>
      <c r="DP300" s="406"/>
      <c r="DQ300" s="406"/>
      <c r="DR300" s="406"/>
      <c r="DS300" s="406"/>
      <c r="DT300" s="406"/>
      <c r="DU300" s="406"/>
      <c r="DV300" s="406"/>
      <c r="DW300" s="406"/>
      <c r="DX300" s="406"/>
      <c r="DY300" s="406"/>
      <c r="DZ300" s="406"/>
    </row>
    <row r="301" spans="1:130" s="491" customFormat="1" hidden="1" outlineLevel="3">
      <c r="A301" s="438"/>
      <c r="B301" s="438" t="s">
        <v>298</v>
      </c>
      <c r="C301" s="438" t="s">
        <v>578</v>
      </c>
      <c r="D301" s="408" t="s">
        <v>391</v>
      </c>
      <c r="E301" s="385"/>
      <c r="F301" s="385"/>
      <c r="G301" s="385"/>
      <c r="H301" s="401" t="s">
        <v>860</v>
      </c>
      <c r="I301" s="385" t="s">
        <v>39</v>
      </c>
      <c r="J301" s="489"/>
      <c r="K301" s="412"/>
      <c r="L301" s="412"/>
      <c r="M301" s="490" t="s">
        <v>37</v>
      </c>
      <c r="N301" s="490">
        <v>1</v>
      </c>
    </row>
    <row r="302" spans="1:130" s="407" customFormat="1" ht="81" hidden="1" customHeight="1" outlineLevel="2" collapsed="1">
      <c r="A302" s="489" t="s">
        <v>1297</v>
      </c>
      <c r="B302" s="490" t="s">
        <v>298</v>
      </c>
      <c r="C302" s="398" t="s">
        <v>578</v>
      </c>
      <c r="D302" s="399" t="s">
        <v>391</v>
      </c>
      <c r="E302" s="490" t="s">
        <v>3713</v>
      </c>
      <c r="F302" s="385" t="s">
        <v>303</v>
      </c>
      <c r="G302" s="385"/>
      <c r="H302" s="401" t="s">
        <v>1225</v>
      </c>
      <c r="I302" s="385" t="str">
        <f>CONCATENATE(I303," ",N303,M303," ",)</f>
        <v xml:space="preserve">Замена опор 2шт. </v>
      </c>
      <c r="J302" s="385" t="s">
        <v>365</v>
      </c>
      <c r="K302" s="450">
        <v>44378</v>
      </c>
      <c r="L302" s="450">
        <v>44408</v>
      </c>
      <c r="M302" s="540"/>
      <c r="N302" s="540"/>
      <c r="O302" s="406"/>
      <c r="P302" s="406"/>
      <c r="Q302" s="406"/>
      <c r="R302" s="406"/>
      <c r="S302" s="406"/>
      <c r="T302" s="406"/>
      <c r="U302" s="406"/>
      <c r="V302" s="406"/>
      <c r="W302" s="406"/>
      <c r="X302" s="406"/>
      <c r="Y302" s="406"/>
      <c r="Z302" s="406"/>
      <c r="AA302" s="406"/>
      <c r="AB302" s="406"/>
      <c r="AC302" s="406"/>
      <c r="AD302" s="406"/>
      <c r="AE302" s="406"/>
      <c r="AF302" s="406"/>
      <c r="AG302" s="406"/>
      <c r="AH302" s="406"/>
      <c r="AI302" s="406"/>
      <c r="AJ302" s="406"/>
      <c r="AK302" s="406"/>
      <c r="AL302" s="406"/>
      <c r="AM302" s="406"/>
      <c r="AN302" s="406"/>
      <c r="AO302" s="406"/>
      <c r="AP302" s="406"/>
      <c r="AQ302" s="406"/>
      <c r="AR302" s="406"/>
      <c r="AS302" s="406"/>
      <c r="AT302" s="406"/>
      <c r="AU302" s="406"/>
      <c r="AV302" s="406"/>
      <c r="AW302" s="406"/>
      <c r="AX302" s="406"/>
      <c r="AY302" s="406"/>
      <c r="AZ302" s="406"/>
      <c r="BA302" s="406"/>
      <c r="BB302" s="406"/>
      <c r="BC302" s="406"/>
      <c r="BD302" s="406"/>
      <c r="BE302" s="406"/>
      <c r="BF302" s="406"/>
      <c r="BG302" s="406"/>
      <c r="BH302" s="406"/>
      <c r="BI302" s="406"/>
      <c r="BJ302" s="406"/>
      <c r="BK302" s="406"/>
      <c r="BL302" s="406"/>
      <c r="BM302" s="406"/>
      <c r="BN302" s="406"/>
      <c r="BO302" s="406"/>
      <c r="BP302" s="406"/>
      <c r="BQ302" s="406"/>
      <c r="BR302" s="406"/>
      <c r="BS302" s="406"/>
      <c r="BT302" s="406"/>
      <c r="BU302" s="406"/>
      <c r="BV302" s="406"/>
      <c r="BW302" s="406"/>
      <c r="BX302" s="406"/>
      <c r="BY302" s="406"/>
      <c r="BZ302" s="406"/>
      <c r="CA302" s="406"/>
      <c r="CB302" s="406"/>
      <c r="CC302" s="406"/>
      <c r="CD302" s="406"/>
      <c r="CE302" s="406"/>
      <c r="CF302" s="406"/>
      <c r="CG302" s="406"/>
      <c r="CH302" s="406"/>
      <c r="CI302" s="406"/>
      <c r="CJ302" s="406"/>
      <c r="CK302" s="406"/>
      <c r="CL302" s="406"/>
      <c r="CM302" s="406"/>
      <c r="CN302" s="406"/>
      <c r="CO302" s="406"/>
      <c r="CP302" s="406"/>
      <c r="CQ302" s="406"/>
      <c r="CR302" s="406"/>
      <c r="CS302" s="406"/>
      <c r="CT302" s="406"/>
      <c r="CU302" s="406"/>
      <c r="CV302" s="406"/>
      <c r="CW302" s="406"/>
      <c r="CX302" s="406"/>
      <c r="CY302" s="406"/>
      <c r="CZ302" s="406"/>
      <c r="DA302" s="406"/>
      <c r="DB302" s="406"/>
      <c r="DC302" s="406"/>
      <c r="DD302" s="406"/>
      <c r="DE302" s="406"/>
      <c r="DF302" s="406"/>
      <c r="DG302" s="406"/>
      <c r="DH302" s="406"/>
      <c r="DI302" s="406"/>
      <c r="DJ302" s="406"/>
      <c r="DK302" s="406"/>
      <c r="DL302" s="406"/>
      <c r="DM302" s="406"/>
      <c r="DN302" s="406"/>
      <c r="DO302" s="406"/>
      <c r="DP302" s="406"/>
      <c r="DQ302" s="406"/>
      <c r="DR302" s="406"/>
      <c r="DS302" s="406"/>
      <c r="DT302" s="406"/>
      <c r="DU302" s="406"/>
      <c r="DV302" s="406"/>
      <c r="DW302" s="406"/>
      <c r="DX302" s="406"/>
      <c r="DY302" s="406"/>
      <c r="DZ302" s="406"/>
    </row>
    <row r="303" spans="1:130" s="491" customFormat="1" hidden="1" outlineLevel="3">
      <c r="A303" s="438"/>
      <c r="B303" s="438" t="s">
        <v>298</v>
      </c>
      <c r="C303" s="438" t="s">
        <v>578</v>
      </c>
      <c r="D303" s="408" t="s">
        <v>391</v>
      </c>
      <c r="E303" s="385"/>
      <c r="F303" s="385"/>
      <c r="G303" s="385"/>
      <c r="H303" s="401" t="s">
        <v>861</v>
      </c>
      <c r="I303" s="385" t="s">
        <v>39</v>
      </c>
      <c r="J303" s="489"/>
      <c r="K303" s="412"/>
      <c r="L303" s="412"/>
      <c r="M303" s="490" t="s">
        <v>37</v>
      </c>
      <c r="N303" s="490">
        <v>2</v>
      </c>
    </row>
    <row r="304" spans="1:130" s="407" customFormat="1" ht="81" hidden="1" customHeight="1" outlineLevel="2" collapsed="1">
      <c r="A304" s="489" t="s">
        <v>1552</v>
      </c>
      <c r="B304" s="490" t="s">
        <v>298</v>
      </c>
      <c r="C304" s="398" t="s">
        <v>578</v>
      </c>
      <c r="D304" s="399" t="s">
        <v>391</v>
      </c>
      <c r="E304" s="490" t="s">
        <v>862</v>
      </c>
      <c r="F304" s="385" t="s">
        <v>303</v>
      </c>
      <c r="G304" s="385"/>
      <c r="H304" s="401" t="s">
        <v>1226</v>
      </c>
      <c r="I304" s="385" t="str">
        <f>CONCATENATE(I305," ",N305,M305," ",)</f>
        <v xml:space="preserve">ручная расчистка 1,43га. </v>
      </c>
      <c r="J304" s="385" t="s">
        <v>365</v>
      </c>
      <c r="K304" s="450">
        <v>44256</v>
      </c>
      <c r="L304" s="450">
        <v>44286</v>
      </c>
      <c r="M304" s="540"/>
      <c r="N304" s="540"/>
      <c r="O304" s="406"/>
      <c r="P304" s="406"/>
      <c r="Q304" s="406"/>
      <c r="R304" s="406"/>
      <c r="S304" s="406"/>
      <c r="T304" s="406"/>
      <c r="U304" s="406"/>
      <c r="V304" s="406"/>
      <c r="W304" s="406"/>
      <c r="X304" s="406"/>
      <c r="Y304" s="406"/>
      <c r="Z304" s="406"/>
      <c r="AA304" s="406"/>
      <c r="AB304" s="406"/>
      <c r="AC304" s="406"/>
      <c r="AD304" s="406"/>
      <c r="AE304" s="406"/>
      <c r="AF304" s="406"/>
      <c r="AG304" s="406"/>
      <c r="AH304" s="406"/>
      <c r="AI304" s="406"/>
      <c r="AJ304" s="406"/>
      <c r="AK304" s="406"/>
      <c r="AL304" s="406"/>
      <c r="AM304" s="406"/>
      <c r="AN304" s="406"/>
      <c r="AO304" s="406"/>
      <c r="AP304" s="406"/>
      <c r="AQ304" s="406"/>
      <c r="AR304" s="406"/>
      <c r="AS304" s="406"/>
      <c r="AT304" s="406"/>
      <c r="AU304" s="406"/>
      <c r="AV304" s="406"/>
      <c r="AW304" s="406"/>
      <c r="AX304" s="406"/>
      <c r="AY304" s="406"/>
      <c r="AZ304" s="406"/>
      <c r="BA304" s="406"/>
      <c r="BB304" s="406"/>
      <c r="BC304" s="406"/>
      <c r="BD304" s="406"/>
      <c r="BE304" s="406"/>
      <c r="BF304" s="406"/>
      <c r="BG304" s="406"/>
      <c r="BH304" s="406"/>
      <c r="BI304" s="406"/>
      <c r="BJ304" s="406"/>
      <c r="BK304" s="406"/>
      <c r="BL304" s="406"/>
      <c r="BM304" s="406"/>
      <c r="BN304" s="406"/>
      <c r="BO304" s="406"/>
      <c r="BP304" s="406"/>
      <c r="BQ304" s="406"/>
      <c r="BR304" s="406"/>
      <c r="BS304" s="406"/>
      <c r="BT304" s="406"/>
      <c r="BU304" s="406"/>
      <c r="BV304" s="406"/>
      <c r="BW304" s="406"/>
      <c r="BX304" s="406"/>
      <c r="BY304" s="406"/>
      <c r="BZ304" s="406"/>
      <c r="CA304" s="406"/>
      <c r="CB304" s="406"/>
      <c r="CC304" s="406"/>
      <c r="CD304" s="406"/>
      <c r="CE304" s="406"/>
      <c r="CF304" s="406"/>
      <c r="CG304" s="406"/>
      <c r="CH304" s="406"/>
      <c r="CI304" s="406"/>
      <c r="CJ304" s="406"/>
      <c r="CK304" s="406"/>
      <c r="CL304" s="406"/>
      <c r="CM304" s="406"/>
      <c r="CN304" s="406"/>
      <c r="CO304" s="406"/>
      <c r="CP304" s="406"/>
      <c r="CQ304" s="406"/>
      <c r="CR304" s="406"/>
      <c r="CS304" s="406"/>
      <c r="CT304" s="406"/>
      <c r="CU304" s="406"/>
      <c r="CV304" s="406"/>
      <c r="CW304" s="406"/>
      <c r="CX304" s="406"/>
      <c r="CY304" s="406"/>
      <c r="CZ304" s="406"/>
      <c r="DA304" s="406"/>
      <c r="DB304" s="406"/>
      <c r="DC304" s="406"/>
      <c r="DD304" s="406"/>
      <c r="DE304" s="406"/>
      <c r="DF304" s="406"/>
      <c r="DG304" s="406"/>
      <c r="DH304" s="406"/>
      <c r="DI304" s="406"/>
      <c r="DJ304" s="406"/>
      <c r="DK304" s="406"/>
      <c r="DL304" s="406"/>
      <c r="DM304" s="406"/>
      <c r="DN304" s="406"/>
      <c r="DO304" s="406"/>
      <c r="DP304" s="406"/>
      <c r="DQ304" s="406"/>
      <c r="DR304" s="406"/>
      <c r="DS304" s="406"/>
      <c r="DT304" s="406"/>
      <c r="DU304" s="406"/>
      <c r="DV304" s="406"/>
      <c r="DW304" s="406"/>
      <c r="DX304" s="406"/>
      <c r="DY304" s="406"/>
      <c r="DZ304" s="406"/>
    </row>
    <row r="305" spans="1:14" s="491" customFormat="1" hidden="1" outlineLevel="3">
      <c r="A305" s="438"/>
      <c r="B305" s="438" t="s">
        <v>298</v>
      </c>
      <c r="C305" s="438" t="s">
        <v>578</v>
      </c>
      <c r="D305" s="408" t="s">
        <v>391</v>
      </c>
      <c r="E305" s="385"/>
      <c r="F305" s="385"/>
      <c r="G305" s="385"/>
      <c r="H305" s="401" t="s">
        <v>863</v>
      </c>
      <c r="I305" s="385" t="s">
        <v>864</v>
      </c>
      <c r="J305" s="489"/>
      <c r="K305" s="412"/>
      <c r="L305" s="412"/>
      <c r="M305" s="490" t="s">
        <v>95</v>
      </c>
      <c r="N305" s="490">
        <v>1.43</v>
      </c>
    </row>
    <row r="306" spans="1:14" s="406" customFormat="1" ht="69" hidden="1" customHeight="1" outlineLevel="2" collapsed="1">
      <c r="A306" s="489" t="s">
        <v>1555</v>
      </c>
      <c r="B306" s="490" t="s">
        <v>54</v>
      </c>
      <c r="C306" s="398" t="s">
        <v>392</v>
      </c>
      <c r="D306" s="399" t="s">
        <v>391</v>
      </c>
      <c r="E306" s="490" t="s">
        <v>1002</v>
      </c>
      <c r="F306" s="385" t="s">
        <v>303</v>
      </c>
      <c r="G306" s="385"/>
      <c r="H306" s="401" t="s">
        <v>3365</v>
      </c>
      <c r="I306" s="385" t="s">
        <v>3831</v>
      </c>
      <c r="J306" s="385" t="s">
        <v>365</v>
      </c>
      <c r="K306" s="450">
        <v>44228</v>
      </c>
      <c r="L306" s="450">
        <v>44286</v>
      </c>
      <c r="M306" s="540"/>
      <c r="N306" s="540"/>
    </row>
    <row r="307" spans="1:14" s="491" customFormat="1" ht="141.75" hidden="1" outlineLevel="3">
      <c r="A307" s="575"/>
      <c r="B307" s="438" t="s">
        <v>54</v>
      </c>
      <c r="C307" s="438" t="s">
        <v>392</v>
      </c>
      <c r="D307" s="408" t="s">
        <v>391</v>
      </c>
      <c r="E307" s="385"/>
      <c r="F307" s="385"/>
      <c r="G307" s="385"/>
      <c r="H307" s="401" t="s">
        <v>1003</v>
      </c>
      <c r="I307" s="385" t="s">
        <v>932</v>
      </c>
      <c r="J307" s="489"/>
      <c r="K307" s="412"/>
      <c r="L307" s="412"/>
      <c r="M307" s="490" t="s">
        <v>37</v>
      </c>
      <c r="N307" s="490">
        <v>49</v>
      </c>
    </row>
    <row r="308" spans="1:14" s="491" customFormat="1" hidden="1" outlineLevel="3">
      <c r="A308" s="576"/>
      <c r="B308" s="438" t="s">
        <v>54</v>
      </c>
      <c r="C308" s="438" t="s">
        <v>392</v>
      </c>
      <c r="D308" s="408" t="s">
        <v>391</v>
      </c>
      <c r="E308" s="385"/>
      <c r="F308" s="385"/>
      <c r="G308" s="430"/>
      <c r="H308" s="401" t="s">
        <v>1004</v>
      </c>
      <c r="I308" s="385" t="s">
        <v>912</v>
      </c>
      <c r="J308" s="489"/>
      <c r="K308" s="412"/>
      <c r="L308" s="412"/>
      <c r="M308" s="490" t="s">
        <v>308</v>
      </c>
      <c r="N308" s="424">
        <v>3.17</v>
      </c>
    </row>
    <row r="309" spans="1:14" s="491" customFormat="1" ht="141.75" hidden="1" outlineLevel="3">
      <c r="A309" s="575"/>
      <c r="B309" s="438" t="s">
        <v>54</v>
      </c>
      <c r="C309" s="438" t="s">
        <v>392</v>
      </c>
      <c r="D309" s="408" t="s">
        <v>391</v>
      </c>
      <c r="E309" s="385"/>
      <c r="F309" s="385"/>
      <c r="G309" s="430"/>
      <c r="H309" s="401" t="s">
        <v>1003</v>
      </c>
      <c r="I309" s="385" t="s">
        <v>1005</v>
      </c>
      <c r="J309" s="489"/>
      <c r="K309" s="412"/>
      <c r="L309" s="412"/>
      <c r="M309" s="490" t="s">
        <v>37</v>
      </c>
      <c r="N309" s="424">
        <v>49</v>
      </c>
    </row>
    <row r="310" spans="1:14" s="491" customFormat="1" hidden="1" outlineLevel="3">
      <c r="A310" s="577"/>
      <c r="B310" s="438" t="s">
        <v>54</v>
      </c>
      <c r="C310" s="438" t="s">
        <v>392</v>
      </c>
      <c r="D310" s="408" t="s">
        <v>391</v>
      </c>
      <c r="E310" s="385"/>
      <c r="F310" s="385"/>
      <c r="G310" s="430"/>
      <c r="H310" s="401" t="s">
        <v>1004</v>
      </c>
      <c r="I310" s="385" t="s">
        <v>914</v>
      </c>
      <c r="J310" s="489"/>
      <c r="K310" s="412"/>
      <c r="L310" s="412"/>
      <c r="M310" s="490" t="s">
        <v>308</v>
      </c>
      <c r="N310" s="424">
        <v>3.17</v>
      </c>
    </row>
    <row r="311" spans="1:14" s="491" customFormat="1" ht="40.5" hidden="1" outlineLevel="3">
      <c r="A311" s="576"/>
      <c r="B311" s="438" t="s">
        <v>54</v>
      </c>
      <c r="C311" s="438" t="s">
        <v>392</v>
      </c>
      <c r="D311" s="408" t="s">
        <v>391</v>
      </c>
      <c r="E311" s="385"/>
      <c r="F311" s="385"/>
      <c r="G311" s="430"/>
      <c r="H311" s="401" t="s">
        <v>1006</v>
      </c>
      <c r="I311" s="385" t="s">
        <v>979</v>
      </c>
      <c r="J311" s="489"/>
      <c r="K311" s="412"/>
      <c r="L311" s="412"/>
      <c r="M311" s="490" t="s">
        <v>37</v>
      </c>
      <c r="N311" s="424">
        <f>16+17+12+4</f>
        <v>49</v>
      </c>
    </row>
    <row r="312" spans="1:14" s="406" customFormat="1" ht="73.5" hidden="1" customHeight="1" outlineLevel="2" collapsed="1">
      <c r="A312" s="489" t="s">
        <v>1556</v>
      </c>
      <c r="B312" s="490" t="s">
        <v>54</v>
      </c>
      <c r="C312" s="398" t="s">
        <v>392</v>
      </c>
      <c r="D312" s="399" t="s">
        <v>391</v>
      </c>
      <c r="E312" s="490" t="s">
        <v>1007</v>
      </c>
      <c r="F312" s="385" t="s">
        <v>303</v>
      </c>
      <c r="G312" s="385"/>
      <c r="H312" s="401" t="s">
        <v>3366</v>
      </c>
      <c r="I312" s="385" t="s">
        <v>1008</v>
      </c>
      <c r="J312" s="385" t="s">
        <v>365</v>
      </c>
      <c r="K312" s="450">
        <v>44228</v>
      </c>
      <c r="L312" s="450">
        <v>44286</v>
      </c>
      <c r="M312" s="540"/>
      <c r="N312" s="540"/>
    </row>
    <row r="313" spans="1:14" s="491" customFormat="1" ht="121.5" hidden="1" outlineLevel="3">
      <c r="A313" s="575"/>
      <c r="B313" s="438" t="s">
        <v>54</v>
      </c>
      <c r="C313" s="438" t="s">
        <v>392</v>
      </c>
      <c r="D313" s="408" t="s">
        <v>391</v>
      </c>
      <c r="E313" s="385"/>
      <c r="F313" s="385"/>
      <c r="G313" s="385"/>
      <c r="H313" s="401" t="s">
        <v>1009</v>
      </c>
      <c r="I313" s="385" t="s">
        <v>932</v>
      </c>
      <c r="J313" s="489"/>
      <c r="K313" s="412"/>
      <c r="L313" s="412"/>
      <c r="M313" s="490" t="s">
        <v>37</v>
      </c>
      <c r="N313" s="490">
        <f>46+3</f>
        <v>49</v>
      </c>
    </row>
    <row r="314" spans="1:14" s="491" customFormat="1" ht="40.5" hidden="1" outlineLevel="3">
      <c r="A314" s="576"/>
      <c r="B314" s="438" t="s">
        <v>54</v>
      </c>
      <c r="C314" s="438" t="s">
        <v>392</v>
      </c>
      <c r="D314" s="408" t="s">
        <v>391</v>
      </c>
      <c r="E314" s="385"/>
      <c r="F314" s="385"/>
      <c r="G314" s="430"/>
      <c r="H314" s="401" t="s">
        <v>1010</v>
      </c>
      <c r="I314" s="385" t="s">
        <v>912</v>
      </c>
      <c r="J314" s="489"/>
      <c r="K314" s="412"/>
      <c r="L314" s="412"/>
      <c r="M314" s="490" t="s">
        <v>308</v>
      </c>
      <c r="N314" s="424">
        <v>3.15</v>
      </c>
    </row>
    <row r="315" spans="1:14" s="491" customFormat="1" ht="121.5" hidden="1" outlineLevel="3">
      <c r="A315" s="575"/>
      <c r="B315" s="438" t="s">
        <v>54</v>
      </c>
      <c r="C315" s="438" t="s">
        <v>392</v>
      </c>
      <c r="D315" s="408" t="s">
        <v>391</v>
      </c>
      <c r="E315" s="385"/>
      <c r="F315" s="385"/>
      <c r="G315" s="430"/>
      <c r="H315" s="401" t="s">
        <v>1009</v>
      </c>
      <c r="I315" s="385" t="s">
        <v>1005</v>
      </c>
      <c r="J315" s="489"/>
      <c r="K315" s="412"/>
      <c r="L315" s="412"/>
      <c r="M315" s="490" t="s">
        <v>37</v>
      </c>
      <c r="N315" s="424">
        <f>12+37</f>
        <v>49</v>
      </c>
    </row>
    <row r="316" spans="1:14" s="491" customFormat="1" hidden="1" outlineLevel="3">
      <c r="A316" s="577"/>
      <c r="B316" s="438" t="s">
        <v>54</v>
      </c>
      <c r="C316" s="438" t="s">
        <v>392</v>
      </c>
      <c r="D316" s="408" t="s">
        <v>391</v>
      </c>
      <c r="E316" s="385"/>
      <c r="F316" s="385"/>
      <c r="G316" s="430"/>
      <c r="H316" s="401" t="s">
        <v>1004</v>
      </c>
      <c r="I316" s="385" t="s">
        <v>914</v>
      </c>
      <c r="J316" s="489"/>
      <c r="K316" s="412"/>
      <c r="L316" s="412"/>
      <c r="M316" s="490" t="s">
        <v>308</v>
      </c>
      <c r="N316" s="424">
        <v>3.15</v>
      </c>
    </row>
    <row r="317" spans="1:14" s="491" customFormat="1" ht="40.5" hidden="1" outlineLevel="3">
      <c r="A317" s="576"/>
      <c r="B317" s="438" t="s">
        <v>54</v>
      </c>
      <c r="C317" s="438" t="s">
        <v>392</v>
      </c>
      <c r="D317" s="408" t="s">
        <v>391</v>
      </c>
      <c r="E317" s="385"/>
      <c r="F317" s="385"/>
      <c r="G317" s="430"/>
      <c r="H317" s="401" t="s">
        <v>1011</v>
      </c>
      <c r="I317" s="385" t="s">
        <v>979</v>
      </c>
      <c r="J317" s="489"/>
      <c r="K317" s="412"/>
      <c r="L317" s="412"/>
      <c r="M317" s="490" t="s">
        <v>37</v>
      </c>
      <c r="N317" s="424">
        <f>5+16+15+11</f>
        <v>47</v>
      </c>
    </row>
    <row r="318" spans="1:14" s="406" customFormat="1" ht="40.5" hidden="1" outlineLevel="2" collapsed="1">
      <c r="A318" s="489" t="s">
        <v>1557</v>
      </c>
      <c r="B318" s="490" t="s">
        <v>54</v>
      </c>
      <c r="C318" s="398" t="s">
        <v>408</v>
      </c>
      <c r="D318" s="399" t="s">
        <v>391</v>
      </c>
      <c r="E318" s="490" t="s">
        <v>418</v>
      </c>
      <c r="F318" s="385" t="s">
        <v>303</v>
      </c>
      <c r="G318" s="385"/>
      <c r="H318" s="401" t="s">
        <v>1807</v>
      </c>
      <c r="I318" s="385" t="str">
        <f>CONCATENATE(I319," ",N319,M319," ",I320," ",N320,M320,,)</f>
        <v>выправка опор 11шт. обваловка опор 11шт.</v>
      </c>
      <c r="J318" s="385" t="s">
        <v>365</v>
      </c>
      <c r="K318" s="450">
        <v>44531</v>
      </c>
      <c r="L318" s="450">
        <v>44561</v>
      </c>
      <c r="M318" s="540"/>
      <c r="N318" s="540"/>
    </row>
    <row r="319" spans="1:14" s="491" customFormat="1" ht="40.5" hidden="1" outlineLevel="3">
      <c r="A319" s="575"/>
      <c r="B319" s="438" t="s">
        <v>54</v>
      </c>
      <c r="C319" s="438" t="s">
        <v>408</v>
      </c>
      <c r="D319" s="408" t="s">
        <v>391</v>
      </c>
      <c r="E319" s="385"/>
      <c r="F319" s="385"/>
      <c r="G319" s="385"/>
      <c r="H319" s="401" t="s">
        <v>999</v>
      </c>
      <c r="I319" s="385" t="s">
        <v>845</v>
      </c>
      <c r="J319" s="489"/>
      <c r="K319" s="412"/>
      <c r="L319" s="412"/>
      <c r="M319" s="490" t="s">
        <v>37</v>
      </c>
      <c r="N319" s="490">
        <v>11</v>
      </c>
    </row>
    <row r="320" spans="1:14" s="491" customFormat="1" ht="40.5" hidden="1" outlineLevel="3">
      <c r="A320" s="576"/>
      <c r="B320" s="438" t="s">
        <v>54</v>
      </c>
      <c r="C320" s="438" t="s">
        <v>408</v>
      </c>
      <c r="D320" s="408" t="s">
        <v>391</v>
      </c>
      <c r="E320" s="385"/>
      <c r="F320" s="385"/>
      <c r="G320" s="430"/>
      <c r="H320" s="401" t="s">
        <v>999</v>
      </c>
      <c r="I320" s="385" t="s">
        <v>979</v>
      </c>
      <c r="J320" s="489"/>
      <c r="K320" s="412"/>
      <c r="L320" s="412"/>
      <c r="M320" s="490" t="s">
        <v>37</v>
      </c>
      <c r="N320" s="424">
        <v>11</v>
      </c>
    </row>
    <row r="321" spans="1:14" s="406" customFormat="1" ht="40.5" hidden="1" outlineLevel="2" collapsed="1">
      <c r="A321" s="489" t="s">
        <v>1567</v>
      </c>
      <c r="B321" s="490" t="s">
        <v>54</v>
      </c>
      <c r="C321" s="398" t="s">
        <v>408</v>
      </c>
      <c r="D321" s="399" t="s">
        <v>391</v>
      </c>
      <c r="E321" s="490" t="s">
        <v>1000</v>
      </c>
      <c r="F321" s="385" t="s">
        <v>303</v>
      </c>
      <c r="G321" s="385"/>
      <c r="H321" s="401" t="s">
        <v>1808</v>
      </c>
      <c r="I321" s="385" t="str">
        <f>CONCATENATE(I322," ",N322,M322," ",I323," ",N323,M323,,)</f>
        <v>выправка опор 21шт. обваловка опор 21шт.</v>
      </c>
      <c r="J321" s="385" t="s">
        <v>365</v>
      </c>
      <c r="K321" s="450">
        <v>44501</v>
      </c>
      <c r="L321" s="450" t="s">
        <v>3714</v>
      </c>
      <c r="M321" s="540"/>
      <c r="N321" s="540"/>
    </row>
    <row r="322" spans="1:14" s="491" customFormat="1" ht="40.5" hidden="1" outlineLevel="3">
      <c r="A322" s="575"/>
      <c r="B322" s="438" t="s">
        <v>54</v>
      </c>
      <c r="C322" s="438" t="s">
        <v>408</v>
      </c>
      <c r="D322" s="408" t="s">
        <v>391</v>
      </c>
      <c r="E322" s="385"/>
      <c r="F322" s="385"/>
      <c r="G322" s="385"/>
      <c r="H322" s="401" t="s">
        <v>1001</v>
      </c>
      <c r="I322" s="385" t="s">
        <v>845</v>
      </c>
      <c r="J322" s="489"/>
      <c r="K322" s="412"/>
      <c r="L322" s="412"/>
      <c r="M322" s="490" t="s">
        <v>37</v>
      </c>
      <c r="N322" s="490">
        <v>21</v>
      </c>
    </row>
    <row r="323" spans="1:14" s="491" customFormat="1" ht="40.5" hidden="1" outlineLevel="3">
      <c r="A323" s="576"/>
      <c r="B323" s="438" t="s">
        <v>54</v>
      </c>
      <c r="C323" s="438" t="s">
        <v>408</v>
      </c>
      <c r="D323" s="408" t="s">
        <v>391</v>
      </c>
      <c r="E323" s="385"/>
      <c r="F323" s="385"/>
      <c r="G323" s="430"/>
      <c r="H323" s="401" t="s">
        <v>1001</v>
      </c>
      <c r="I323" s="385" t="s">
        <v>979</v>
      </c>
      <c r="J323" s="489"/>
      <c r="K323" s="412"/>
      <c r="L323" s="412"/>
      <c r="M323" s="490" t="s">
        <v>37</v>
      </c>
      <c r="N323" s="424">
        <v>21</v>
      </c>
    </row>
    <row r="324" spans="1:14" s="505" customFormat="1" hidden="1" outlineLevel="3">
      <c r="A324" s="533"/>
      <c r="B324" s="438" t="s">
        <v>54</v>
      </c>
      <c r="C324" s="438" t="s">
        <v>408</v>
      </c>
      <c r="D324" s="408" t="s">
        <v>391</v>
      </c>
      <c r="E324" s="385"/>
      <c r="F324" s="385"/>
      <c r="G324" s="430"/>
      <c r="H324" s="401"/>
      <c r="I324" s="385" t="s">
        <v>932</v>
      </c>
      <c r="J324" s="489"/>
      <c r="K324" s="412"/>
      <c r="L324" s="412"/>
      <c r="M324" s="490" t="s">
        <v>37</v>
      </c>
      <c r="N324" s="424">
        <v>1</v>
      </c>
    </row>
    <row r="325" spans="1:14" s="505" customFormat="1" hidden="1" outlineLevel="3">
      <c r="A325" s="533"/>
      <c r="B325" s="438" t="s">
        <v>54</v>
      </c>
      <c r="C325" s="438" t="s">
        <v>408</v>
      </c>
      <c r="D325" s="408" t="s">
        <v>391</v>
      </c>
      <c r="E325" s="385"/>
      <c r="F325" s="385"/>
      <c r="G325" s="430"/>
      <c r="H325" s="401"/>
      <c r="I325" s="385" t="s">
        <v>1005</v>
      </c>
      <c r="J325" s="489"/>
      <c r="K325" s="412"/>
      <c r="L325" s="412"/>
      <c r="M325" s="490" t="s">
        <v>37</v>
      </c>
      <c r="N325" s="424">
        <v>1</v>
      </c>
    </row>
    <row r="326" spans="1:14" s="406" customFormat="1" ht="79.5" hidden="1" customHeight="1" outlineLevel="2" collapsed="1">
      <c r="A326" s="489" t="s">
        <v>1568</v>
      </c>
      <c r="B326" s="490" t="s">
        <v>54</v>
      </c>
      <c r="C326" s="398" t="s">
        <v>408</v>
      </c>
      <c r="D326" s="399" t="s">
        <v>391</v>
      </c>
      <c r="E326" s="490" t="s">
        <v>418</v>
      </c>
      <c r="F326" s="385" t="s">
        <v>303</v>
      </c>
      <c r="G326" s="385"/>
      <c r="H326" s="401" t="s">
        <v>1807</v>
      </c>
      <c r="I326" s="385" t="str">
        <f>CONCATENATE(I327," ",N327,M327," ",,)</f>
        <v xml:space="preserve">вырубка угрожающих деревьев  247шт. </v>
      </c>
      <c r="J326" s="385" t="s">
        <v>365</v>
      </c>
      <c r="K326" s="450">
        <v>44228</v>
      </c>
      <c r="L326" s="450">
        <v>44286</v>
      </c>
      <c r="M326" s="540"/>
      <c r="N326" s="540"/>
    </row>
    <row r="327" spans="1:14" s="492" customFormat="1" hidden="1" outlineLevel="3">
      <c r="A327" s="533"/>
      <c r="B327" s="438" t="s">
        <v>54</v>
      </c>
      <c r="C327" s="438" t="s">
        <v>408</v>
      </c>
      <c r="D327" s="408" t="s">
        <v>391</v>
      </c>
      <c r="E327" s="385"/>
      <c r="F327" s="385"/>
      <c r="G327" s="385"/>
      <c r="H327" s="401" t="s">
        <v>1012</v>
      </c>
      <c r="I327" s="385" t="s">
        <v>986</v>
      </c>
      <c r="J327" s="489"/>
      <c r="K327" s="412"/>
      <c r="L327" s="412"/>
      <c r="M327" s="490" t="s">
        <v>37</v>
      </c>
      <c r="N327" s="490">
        <v>247</v>
      </c>
    </row>
    <row r="328" spans="1:14" s="406" customFormat="1" ht="102.75" hidden="1" customHeight="1" outlineLevel="2" collapsed="1">
      <c r="A328" s="489" t="s">
        <v>1828</v>
      </c>
      <c r="B328" s="490" t="s">
        <v>54</v>
      </c>
      <c r="C328" s="398" t="s">
        <v>520</v>
      </c>
      <c r="D328" s="399" t="s">
        <v>391</v>
      </c>
      <c r="E328" s="490" t="s">
        <v>3715</v>
      </c>
      <c r="F328" s="385" t="s">
        <v>1735</v>
      </c>
      <c r="G328" s="385" t="s">
        <v>1736</v>
      </c>
      <c r="H328" s="401" t="s">
        <v>1809</v>
      </c>
      <c r="I328" s="385" t="str">
        <f>CONCATENATE(I329," ",N329,M329," ",I330," ",N330,M330,," ",I331," ",N331,M331)</f>
        <v>выправка опор 30шт. демонтаж опор 39шт. монтаж опор 39шт.</v>
      </c>
      <c r="J328" s="385" t="s">
        <v>365</v>
      </c>
      <c r="K328" s="450">
        <v>44348</v>
      </c>
      <c r="L328" s="450">
        <v>44439</v>
      </c>
      <c r="M328" s="540"/>
      <c r="N328" s="540"/>
    </row>
    <row r="329" spans="1:14" s="491" customFormat="1" ht="60.75" hidden="1" outlineLevel="3">
      <c r="A329" s="575"/>
      <c r="B329" s="438" t="s">
        <v>54</v>
      </c>
      <c r="C329" s="438" t="s">
        <v>520</v>
      </c>
      <c r="D329" s="408" t="s">
        <v>391</v>
      </c>
      <c r="E329" s="385"/>
      <c r="F329" s="385"/>
      <c r="G329" s="385"/>
      <c r="H329" s="401" t="s">
        <v>3786</v>
      </c>
      <c r="I329" s="385" t="s">
        <v>845</v>
      </c>
      <c r="J329" s="489"/>
      <c r="K329" s="412"/>
      <c r="L329" s="412"/>
      <c r="M329" s="490" t="s">
        <v>37</v>
      </c>
      <c r="N329" s="490">
        <v>30</v>
      </c>
    </row>
    <row r="330" spans="1:14" s="491" customFormat="1" ht="60.75" hidden="1" outlineLevel="3">
      <c r="A330" s="577"/>
      <c r="B330" s="438" t="s">
        <v>54</v>
      </c>
      <c r="C330" s="438" t="s">
        <v>520</v>
      </c>
      <c r="D330" s="408" t="s">
        <v>391</v>
      </c>
      <c r="E330" s="385"/>
      <c r="F330" s="385"/>
      <c r="G330" s="430"/>
      <c r="H330" s="401" t="s">
        <v>3787</v>
      </c>
      <c r="I330" s="385" t="s">
        <v>932</v>
      </c>
      <c r="J330" s="489"/>
      <c r="K330" s="412"/>
      <c r="L330" s="412"/>
      <c r="M330" s="490" t="s">
        <v>37</v>
      </c>
      <c r="N330" s="424">
        <v>39</v>
      </c>
    </row>
    <row r="331" spans="1:14" s="491" customFormat="1" ht="60.75" hidden="1" outlineLevel="3">
      <c r="A331" s="576"/>
      <c r="B331" s="438" t="s">
        <v>54</v>
      </c>
      <c r="C331" s="438" t="s">
        <v>520</v>
      </c>
      <c r="D331" s="408" t="s">
        <v>391</v>
      </c>
      <c r="E331" s="385"/>
      <c r="F331" s="385"/>
      <c r="G331" s="430"/>
      <c r="H331" s="401" t="s">
        <v>3788</v>
      </c>
      <c r="I331" s="385" t="s">
        <v>1005</v>
      </c>
      <c r="J331" s="489"/>
      <c r="K331" s="412"/>
      <c r="L331" s="412"/>
      <c r="M331" s="490" t="s">
        <v>37</v>
      </c>
      <c r="N331" s="424">
        <v>39</v>
      </c>
    </row>
    <row r="332" spans="1:14" s="505" customFormat="1" ht="90.75" hidden="1" customHeight="1" outlineLevel="3">
      <c r="A332" s="533"/>
      <c r="B332" s="438" t="s">
        <v>54</v>
      </c>
      <c r="C332" s="438" t="s">
        <v>520</v>
      </c>
      <c r="D332" s="408" t="s">
        <v>391</v>
      </c>
      <c r="E332" s="385"/>
      <c r="F332" s="385"/>
      <c r="G332" s="430"/>
      <c r="H332" s="401" t="s">
        <v>3789</v>
      </c>
      <c r="I332" s="385" t="s">
        <v>3785</v>
      </c>
      <c r="J332" s="489"/>
      <c r="K332" s="412"/>
      <c r="L332" s="412"/>
      <c r="M332" s="490" t="s">
        <v>37</v>
      </c>
      <c r="N332" s="424">
        <v>63</v>
      </c>
    </row>
    <row r="333" spans="1:14" s="406" customFormat="1" ht="40.5" hidden="1" outlineLevel="2" collapsed="1">
      <c r="A333" s="560" t="s">
        <v>3292</v>
      </c>
      <c r="B333" s="490" t="s">
        <v>54</v>
      </c>
      <c r="C333" s="398" t="s">
        <v>520</v>
      </c>
      <c r="D333" s="399" t="s">
        <v>391</v>
      </c>
      <c r="E333" s="490" t="s">
        <v>1731</v>
      </c>
      <c r="F333" s="385" t="s">
        <v>303</v>
      </c>
      <c r="G333" s="385"/>
      <c r="H333" s="401" t="s">
        <v>1732</v>
      </c>
      <c r="I333" s="385" t="str">
        <f>CONCATENATE(I334," ",N334,M334," ",I335," ",N335,M335," ",I336," ",N336,M336," ",I337," ",N337,M337," ",)</f>
        <v xml:space="preserve">демонтаж опор 14шт. монтаж опор 14шт. обваловка опор 33шт. выправка опор 17шт. </v>
      </c>
      <c r="J333" s="385" t="s">
        <v>365</v>
      </c>
      <c r="K333" s="450">
        <v>44409</v>
      </c>
      <c r="L333" s="450">
        <v>44469</v>
      </c>
      <c r="M333" s="540"/>
      <c r="N333" s="540"/>
    </row>
    <row r="334" spans="1:14" s="491" customFormat="1" ht="40.5" hidden="1" outlineLevel="3">
      <c r="A334" s="575"/>
      <c r="B334" s="438" t="s">
        <v>54</v>
      </c>
      <c r="C334" s="438" t="s">
        <v>520</v>
      </c>
      <c r="D334" s="408" t="s">
        <v>391</v>
      </c>
      <c r="E334" s="385"/>
      <c r="F334" s="385"/>
      <c r="G334" s="385"/>
      <c r="H334" s="401" t="s">
        <v>3791</v>
      </c>
      <c r="I334" s="385" t="s">
        <v>932</v>
      </c>
      <c r="J334" s="489"/>
      <c r="K334" s="412"/>
      <c r="L334" s="412"/>
      <c r="M334" s="490" t="s">
        <v>37</v>
      </c>
      <c r="N334" s="490">
        <v>14</v>
      </c>
    </row>
    <row r="335" spans="1:14" s="491" customFormat="1" ht="40.5" hidden="1" outlineLevel="3">
      <c r="A335" s="577"/>
      <c r="B335" s="438" t="s">
        <v>54</v>
      </c>
      <c r="C335" s="438" t="s">
        <v>520</v>
      </c>
      <c r="D335" s="408" t="s">
        <v>391</v>
      </c>
      <c r="E335" s="385"/>
      <c r="F335" s="385"/>
      <c r="G335" s="430"/>
      <c r="H335" s="401" t="s">
        <v>3790</v>
      </c>
      <c r="I335" s="385" t="s">
        <v>1005</v>
      </c>
      <c r="J335" s="489"/>
      <c r="K335" s="412"/>
      <c r="L335" s="412"/>
      <c r="M335" s="490" t="s">
        <v>37</v>
      </c>
      <c r="N335" s="424">
        <v>14</v>
      </c>
    </row>
    <row r="336" spans="1:14" s="491" customFormat="1" ht="60.75" hidden="1" outlineLevel="3">
      <c r="A336" s="577"/>
      <c r="B336" s="438" t="s">
        <v>54</v>
      </c>
      <c r="C336" s="438" t="s">
        <v>520</v>
      </c>
      <c r="D336" s="408" t="s">
        <v>391</v>
      </c>
      <c r="E336" s="385"/>
      <c r="F336" s="385"/>
      <c r="G336" s="430"/>
      <c r="H336" s="401" t="s">
        <v>1733</v>
      </c>
      <c r="I336" s="385" t="s">
        <v>979</v>
      </c>
      <c r="J336" s="489"/>
      <c r="K336" s="412"/>
      <c r="L336" s="412"/>
      <c r="M336" s="490" t="s">
        <v>37</v>
      </c>
      <c r="N336" s="424">
        <v>33</v>
      </c>
    </row>
    <row r="337" spans="1:14" s="491" customFormat="1" ht="40.5" hidden="1" outlineLevel="3">
      <c r="A337" s="577"/>
      <c r="B337" s="438" t="s">
        <v>54</v>
      </c>
      <c r="C337" s="438" t="s">
        <v>520</v>
      </c>
      <c r="D337" s="408" t="s">
        <v>391</v>
      </c>
      <c r="E337" s="385"/>
      <c r="F337" s="385"/>
      <c r="G337" s="430"/>
      <c r="H337" s="401" t="s">
        <v>1734</v>
      </c>
      <c r="I337" s="385" t="s">
        <v>845</v>
      </c>
      <c r="J337" s="489"/>
      <c r="K337" s="412"/>
      <c r="L337" s="412"/>
      <c r="M337" s="490" t="s">
        <v>37</v>
      </c>
      <c r="N337" s="424">
        <v>17</v>
      </c>
    </row>
    <row r="338" spans="1:14" s="407" customFormat="1" ht="40.5" hidden="1" outlineLevel="3">
      <c r="A338" s="438" t="s">
        <v>3328</v>
      </c>
      <c r="B338" s="490" t="s">
        <v>54</v>
      </c>
      <c r="C338" s="398" t="s">
        <v>607</v>
      </c>
      <c r="D338" s="399" t="s">
        <v>391</v>
      </c>
      <c r="E338" s="385" t="s">
        <v>3716</v>
      </c>
      <c r="F338" s="385" t="s">
        <v>303</v>
      </c>
      <c r="G338" s="430"/>
      <c r="H338" s="401" t="s">
        <v>3717</v>
      </c>
      <c r="I338" s="385" t="str">
        <f>CONCATENATE(I339," ",N339,M339," ",I340," ",N340,M340,,)</f>
        <v>демонтаж опор 3шт монтаж опор 29шт</v>
      </c>
      <c r="J338" s="385" t="s">
        <v>365</v>
      </c>
      <c r="K338" s="412" t="s">
        <v>3799</v>
      </c>
      <c r="L338" s="412" t="s">
        <v>3800</v>
      </c>
      <c r="M338" s="540"/>
      <c r="N338" s="542"/>
    </row>
    <row r="339" spans="1:14" s="491" customFormat="1" hidden="1" outlineLevel="3">
      <c r="A339" s="438"/>
      <c r="B339" s="490" t="s">
        <v>54</v>
      </c>
      <c r="C339" s="398" t="s">
        <v>607</v>
      </c>
      <c r="D339" s="399" t="s">
        <v>391</v>
      </c>
      <c r="E339" s="385"/>
      <c r="F339" s="385"/>
      <c r="G339" s="430"/>
      <c r="H339" s="401" t="s">
        <v>3792</v>
      </c>
      <c r="I339" s="385" t="s">
        <v>932</v>
      </c>
      <c r="J339" s="489"/>
      <c r="K339" s="412"/>
      <c r="L339" s="412"/>
      <c r="M339" s="490" t="s">
        <v>813</v>
      </c>
      <c r="N339" s="424">
        <v>3</v>
      </c>
    </row>
    <row r="340" spans="1:14" s="491" customFormat="1" hidden="1" outlineLevel="3">
      <c r="A340" s="438"/>
      <c r="B340" s="490" t="s">
        <v>54</v>
      </c>
      <c r="C340" s="398" t="s">
        <v>607</v>
      </c>
      <c r="D340" s="399" t="s">
        <v>391</v>
      </c>
      <c r="E340" s="385"/>
      <c r="F340" s="385"/>
      <c r="G340" s="430"/>
      <c r="H340" s="401" t="s">
        <v>3793</v>
      </c>
      <c r="I340" s="385" t="s">
        <v>1005</v>
      </c>
      <c r="J340" s="489"/>
      <c r="K340" s="412"/>
      <c r="L340" s="412"/>
      <c r="M340" s="490" t="s">
        <v>813</v>
      </c>
      <c r="N340" s="424">
        <v>29</v>
      </c>
    </row>
    <row r="341" spans="1:14" s="505" customFormat="1" hidden="1" outlineLevel="3">
      <c r="A341" s="438"/>
      <c r="B341" s="490" t="s">
        <v>54</v>
      </c>
      <c r="C341" s="398" t="s">
        <v>607</v>
      </c>
      <c r="D341" s="399" t="s">
        <v>391</v>
      </c>
      <c r="E341" s="385"/>
      <c r="F341" s="385"/>
      <c r="G341" s="430"/>
      <c r="H341" s="401" t="s">
        <v>3794</v>
      </c>
      <c r="I341" s="385" t="s">
        <v>3798</v>
      </c>
      <c r="J341" s="489"/>
      <c r="K341" s="412"/>
      <c r="L341" s="412"/>
      <c r="M341" s="490" t="s">
        <v>813</v>
      </c>
      <c r="N341" s="424">
        <v>1</v>
      </c>
    </row>
    <row r="342" spans="1:14" s="505" customFormat="1" hidden="1" outlineLevel="3">
      <c r="A342" s="438"/>
      <c r="B342" s="490" t="s">
        <v>54</v>
      </c>
      <c r="C342" s="398" t="s">
        <v>607</v>
      </c>
      <c r="D342" s="399" t="s">
        <v>391</v>
      </c>
      <c r="E342" s="385"/>
      <c r="F342" s="385"/>
      <c r="G342" s="430"/>
      <c r="H342" s="401" t="s">
        <v>3795</v>
      </c>
      <c r="I342" s="385" t="s">
        <v>930</v>
      </c>
      <c r="J342" s="489"/>
      <c r="K342" s="412"/>
      <c r="L342" s="412"/>
      <c r="M342" s="490" t="s">
        <v>813</v>
      </c>
      <c r="N342" s="424">
        <v>26</v>
      </c>
    </row>
    <row r="343" spans="1:14" s="505" customFormat="1" hidden="1" outlineLevel="3">
      <c r="A343" s="438"/>
      <c r="B343" s="490" t="s">
        <v>54</v>
      </c>
      <c r="C343" s="398" t="s">
        <v>607</v>
      </c>
      <c r="D343" s="399" t="s">
        <v>391</v>
      </c>
      <c r="E343" s="385"/>
      <c r="F343" s="385"/>
      <c r="G343" s="430"/>
      <c r="H343" s="401" t="s">
        <v>3796</v>
      </c>
      <c r="I343" s="385" t="s">
        <v>979</v>
      </c>
      <c r="J343" s="489"/>
      <c r="K343" s="412"/>
      <c r="L343" s="412"/>
      <c r="M343" s="490" t="s">
        <v>813</v>
      </c>
      <c r="N343" s="424">
        <v>30</v>
      </c>
    </row>
    <row r="344" spans="1:14" s="505" customFormat="1" hidden="1" outlineLevel="3">
      <c r="A344" s="438"/>
      <c r="B344" s="490" t="s">
        <v>54</v>
      </c>
      <c r="C344" s="398" t="s">
        <v>607</v>
      </c>
      <c r="D344" s="399" t="s">
        <v>391</v>
      </c>
      <c r="E344" s="385"/>
      <c r="F344" s="385"/>
      <c r="G344" s="430"/>
      <c r="H344" s="401" t="s">
        <v>3797</v>
      </c>
      <c r="I344" s="385" t="s">
        <v>971</v>
      </c>
      <c r="J344" s="489"/>
      <c r="K344" s="412"/>
      <c r="L344" s="412"/>
      <c r="M344" s="490" t="s">
        <v>813</v>
      </c>
      <c r="N344" s="424">
        <v>220</v>
      </c>
    </row>
    <row r="345" spans="1:14" s="407" customFormat="1" ht="40.5" hidden="1" outlineLevel="3">
      <c r="A345" s="438" t="s">
        <v>3329</v>
      </c>
      <c r="B345" s="438" t="s">
        <v>54</v>
      </c>
      <c r="C345" s="438" t="s">
        <v>808</v>
      </c>
      <c r="D345" s="399" t="s">
        <v>391</v>
      </c>
      <c r="E345" s="385" t="s">
        <v>3718</v>
      </c>
      <c r="F345" s="385" t="s">
        <v>303</v>
      </c>
      <c r="G345" s="430"/>
      <c r="H345" s="401" t="s">
        <v>3719</v>
      </c>
      <c r="I345" s="385" t="str">
        <f>CONCATENATE(I346," ",N346,M346," ",I347," ",N347,M347,,)</f>
        <v>переустановка опор 1шт обваловка опор 1шт</v>
      </c>
      <c r="J345" s="385" t="s">
        <v>365</v>
      </c>
      <c r="K345" s="412" t="s">
        <v>3799</v>
      </c>
      <c r="L345" s="412" t="s">
        <v>3800</v>
      </c>
      <c r="M345" s="540"/>
      <c r="N345" s="542"/>
    </row>
    <row r="346" spans="1:14" s="491" customFormat="1" hidden="1" outlineLevel="3">
      <c r="A346" s="438"/>
      <c r="B346" s="490" t="s">
        <v>54</v>
      </c>
      <c r="C346" s="438" t="s">
        <v>808</v>
      </c>
      <c r="D346" s="408" t="s">
        <v>391</v>
      </c>
      <c r="E346" s="385"/>
      <c r="F346" s="385"/>
      <c r="G346" s="430"/>
      <c r="H346" s="401" t="s">
        <v>3720</v>
      </c>
      <c r="I346" s="385" t="s">
        <v>930</v>
      </c>
      <c r="J346" s="489"/>
      <c r="K346" s="412"/>
      <c r="L346" s="412"/>
      <c r="M346" s="490" t="s">
        <v>813</v>
      </c>
      <c r="N346" s="424">
        <v>1</v>
      </c>
    </row>
    <row r="347" spans="1:14" s="491" customFormat="1" hidden="1" outlineLevel="3">
      <c r="A347" s="438"/>
      <c r="B347" s="490" t="s">
        <v>54</v>
      </c>
      <c r="C347" s="438" t="s">
        <v>808</v>
      </c>
      <c r="D347" s="408" t="s">
        <v>391</v>
      </c>
      <c r="E347" s="385"/>
      <c r="F347" s="385"/>
      <c r="G347" s="430"/>
      <c r="H347" s="401" t="s">
        <v>3720</v>
      </c>
      <c r="I347" s="385" t="s">
        <v>979</v>
      </c>
      <c r="J347" s="489"/>
      <c r="K347" s="412"/>
      <c r="L347" s="412"/>
      <c r="M347" s="490" t="s">
        <v>813</v>
      </c>
      <c r="N347" s="424">
        <v>1</v>
      </c>
    </row>
    <row r="348" spans="1:14" s="504" customFormat="1" ht="40.5" hidden="1" outlineLevel="3">
      <c r="A348" s="438" t="s">
        <v>3330</v>
      </c>
      <c r="B348" s="438" t="s">
        <v>54</v>
      </c>
      <c r="C348" s="438" t="s">
        <v>607</v>
      </c>
      <c r="D348" s="399" t="s">
        <v>391</v>
      </c>
      <c r="E348" s="385" t="s">
        <v>3768</v>
      </c>
      <c r="F348" s="385" t="s">
        <v>303</v>
      </c>
      <c r="G348" s="430"/>
      <c r="H348" s="401" t="s">
        <v>3769</v>
      </c>
      <c r="I348" s="385" t="str">
        <f>CONCATENATE(I349," ",N349,M349," ",I350," ",N350,M350," ",I351," ",N351,M351," ",)</f>
        <v xml:space="preserve">монтаж опор 62шт демонтаж опор 37шт демонтаж провода (по трассе) 10,5км </v>
      </c>
      <c r="J348" s="385" t="s">
        <v>365</v>
      </c>
      <c r="K348" s="412" t="s">
        <v>3799</v>
      </c>
      <c r="L348" s="412" t="s">
        <v>3800</v>
      </c>
      <c r="M348" s="540"/>
      <c r="N348" s="542"/>
    </row>
    <row r="349" spans="1:14" s="504" customFormat="1" ht="121.5" hidden="1" outlineLevel="3">
      <c r="A349" s="438"/>
      <c r="B349" s="490" t="s">
        <v>54</v>
      </c>
      <c r="C349" s="398" t="s">
        <v>607</v>
      </c>
      <c r="D349" s="399" t="s">
        <v>391</v>
      </c>
      <c r="E349" s="385"/>
      <c r="F349" s="385"/>
      <c r="G349" s="430"/>
      <c r="H349" s="401" t="s">
        <v>3801</v>
      </c>
      <c r="I349" s="385" t="s">
        <v>1005</v>
      </c>
      <c r="J349" s="489"/>
      <c r="K349" s="412"/>
      <c r="L349" s="412"/>
      <c r="M349" s="490" t="s">
        <v>813</v>
      </c>
      <c r="N349" s="424">
        <v>62</v>
      </c>
    </row>
    <row r="350" spans="1:14" s="504" customFormat="1" ht="101.25" hidden="1" outlineLevel="3">
      <c r="A350" s="438"/>
      <c r="B350" s="490" t="s">
        <v>54</v>
      </c>
      <c r="C350" s="398" t="s">
        <v>607</v>
      </c>
      <c r="D350" s="399" t="s">
        <v>391</v>
      </c>
      <c r="E350" s="385"/>
      <c r="F350" s="385"/>
      <c r="G350" s="430"/>
      <c r="H350" s="401" t="s">
        <v>3802</v>
      </c>
      <c r="I350" s="385" t="s">
        <v>932</v>
      </c>
      <c r="J350" s="489"/>
      <c r="K350" s="412"/>
      <c r="L350" s="412"/>
      <c r="M350" s="490" t="s">
        <v>813</v>
      </c>
      <c r="N350" s="424">
        <v>37</v>
      </c>
    </row>
    <row r="351" spans="1:14" s="504" customFormat="1" hidden="1" outlineLevel="3">
      <c r="A351" s="438"/>
      <c r="B351" s="490" t="s">
        <v>54</v>
      </c>
      <c r="C351" s="398" t="s">
        <v>607</v>
      </c>
      <c r="D351" s="399" t="s">
        <v>391</v>
      </c>
      <c r="E351" s="385"/>
      <c r="F351" s="385"/>
      <c r="G351" s="430"/>
      <c r="H351" s="401" t="s">
        <v>3770</v>
      </c>
      <c r="I351" s="385" t="s">
        <v>912</v>
      </c>
      <c r="J351" s="489"/>
      <c r="K351" s="412"/>
      <c r="L351" s="412"/>
      <c r="M351" s="490" t="s">
        <v>308</v>
      </c>
      <c r="N351" s="424">
        <v>10.5</v>
      </c>
    </row>
    <row r="352" spans="1:14" s="505" customFormat="1" hidden="1" outlineLevel="3">
      <c r="A352" s="438"/>
      <c r="B352" s="490" t="s">
        <v>54</v>
      </c>
      <c r="C352" s="398" t="s">
        <v>607</v>
      </c>
      <c r="D352" s="399" t="s">
        <v>391</v>
      </c>
      <c r="E352" s="385"/>
      <c r="F352" s="385"/>
      <c r="G352" s="430"/>
      <c r="H352" s="401" t="s">
        <v>3770</v>
      </c>
      <c r="I352" s="385" t="s">
        <v>914</v>
      </c>
      <c r="J352" s="489"/>
      <c r="K352" s="412"/>
      <c r="L352" s="412"/>
      <c r="M352" s="490" t="s">
        <v>308</v>
      </c>
      <c r="N352" s="424">
        <v>10.5</v>
      </c>
    </row>
    <row r="353" spans="1:14" s="505" customFormat="1" ht="81" hidden="1" outlineLevel="3">
      <c r="A353" s="438"/>
      <c r="B353" s="490" t="s">
        <v>54</v>
      </c>
      <c r="C353" s="398" t="s">
        <v>607</v>
      </c>
      <c r="D353" s="399" t="s">
        <v>391</v>
      </c>
      <c r="E353" s="385"/>
      <c r="F353" s="385"/>
      <c r="G353" s="430"/>
      <c r="H353" s="401" t="s">
        <v>3803</v>
      </c>
      <c r="I353" s="385" t="s">
        <v>979</v>
      </c>
      <c r="J353" s="489"/>
      <c r="K353" s="412"/>
      <c r="L353" s="412"/>
      <c r="M353" s="490" t="s">
        <v>813</v>
      </c>
      <c r="N353" s="424">
        <v>44</v>
      </c>
    </row>
    <row r="354" spans="1:14" s="505" customFormat="1" hidden="1" outlineLevel="3">
      <c r="A354" s="438"/>
      <c r="B354" s="490" t="s">
        <v>54</v>
      </c>
      <c r="C354" s="398" t="s">
        <v>607</v>
      </c>
      <c r="D354" s="399" t="s">
        <v>391</v>
      </c>
      <c r="E354" s="385"/>
      <c r="F354" s="385"/>
      <c r="G354" s="430"/>
      <c r="H354" s="401" t="s">
        <v>3804</v>
      </c>
      <c r="I354" s="385" t="s">
        <v>159</v>
      </c>
      <c r="J354" s="489"/>
      <c r="K354" s="412"/>
      <c r="L354" s="412"/>
      <c r="M354" s="490" t="s">
        <v>117</v>
      </c>
      <c r="N354" s="424">
        <v>4.2</v>
      </c>
    </row>
    <row r="355" spans="1:14" s="505" customFormat="1" hidden="1" outlineLevel="3">
      <c r="A355" s="438"/>
      <c r="B355" s="490" t="s">
        <v>54</v>
      </c>
      <c r="C355" s="398" t="s">
        <v>607</v>
      </c>
      <c r="D355" s="399" t="s">
        <v>391</v>
      </c>
      <c r="E355" s="385"/>
      <c r="F355" s="385"/>
      <c r="G355" s="430"/>
      <c r="H355" s="401" t="s">
        <v>3804</v>
      </c>
      <c r="I355" s="385" t="s">
        <v>3771</v>
      </c>
      <c r="J355" s="489"/>
      <c r="K355" s="412"/>
      <c r="L355" s="412"/>
      <c r="M355" s="490" t="s">
        <v>813</v>
      </c>
      <c r="N355" s="424">
        <v>150</v>
      </c>
    </row>
    <row r="356" spans="1:14" s="504" customFormat="1" ht="40.5" hidden="1" outlineLevel="3">
      <c r="A356" s="438" t="s">
        <v>3331</v>
      </c>
      <c r="B356" s="438" t="s">
        <v>54</v>
      </c>
      <c r="C356" s="438" t="s">
        <v>607</v>
      </c>
      <c r="D356" s="399" t="s">
        <v>391</v>
      </c>
      <c r="E356" s="385" t="s">
        <v>3768</v>
      </c>
      <c r="F356" s="385" t="s">
        <v>303</v>
      </c>
      <c r="G356" s="430"/>
      <c r="H356" s="401" t="s">
        <v>3805</v>
      </c>
      <c r="I356" s="385" t="str">
        <f>CONCATENATE(I357," ",N357,M357," ",I358," ",N358,M358)</f>
        <v>Механизированная  расчистка 1,43га ручная расчистка 5,07га</v>
      </c>
      <c r="J356" s="385" t="s">
        <v>365</v>
      </c>
      <c r="K356" s="412" t="s">
        <v>3799</v>
      </c>
      <c r="L356" s="412" t="s">
        <v>3800</v>
      </c>
      <c r="M356" s="540"/>
      <c r="N356" s="542"/>
    </row>
    <row r="357" spans="1:14" s="504" customFormat="1" hidden="1" outlineLevel="3">
      <c r="A357" s="438"/>
      <c r="B357" s="490" t="s">
        <v>54</v>
      </c>
      <c r="C357" s="398" t="s">
        <v>607</v>
      </c>
      <c r="D357" s="399" t="s">
        <v>391</v>
      </c>
      <c r="E357" s="385"/>
      <c r="F357" s="385"/>
      <c r="G357" s="430"/>
      <c r="H357" s="401" t="s">
        <v>3806</v>
      </c>
      <c r="I357" s="385" t="s">
        <v>3809</v>
      </c>
      <c r="J357" s="489"/>
      <c r="K357" s="412"/>
      <c r="L357" s="412"/>
      <c r="M357" s="490" t="s">
        <v>117</v>
      </c>
      <c r="N357" s="424">
        <v>1.43</v>
      </c>
    </row>
    <row r="358" spans="1:14" s="504" customFormat="1" ht="60.75" hidden="1" outlineLevel="3">
      <c r="A358" s="438"/>
      <c r="B358" s="490" t="s">
        <v>54</v>
      </c>
      <c r="C358" s="398" t="s">
        <v>607</v>
      </c>
      <c r="D358" s="399" t="s">
        <v>391</v>
      </c>
      <c r="E358" s="385"/>
      <c r="F358" s="385"/>
      <c r="G358" s="430"/>
      <c r="H358" s="401" t="s">
        <v>3832</v>
      </c>
      <c r="I358" s="385" t="s">
        <v>864</v>
      </c>
      <c r="J358" s="489"/>
      <c r="K358" s="412"/>
      <c r="L358" s="412"/>
      <c r="M358" s="490" t="s">
        <v>117</v>
      </c>
      <c r="N358" s="424">
        <v>5.07</v>
      </c>
    </row>
    <row r="359" spans="1:14" s="505" customFormat="1" hidden="1" outlineLevel="3">
      <c r="A359" s="438"/>
      <c r="B359" s="490" t="s">
        <v>54</v>
      </c>
      <c r="C359" s="398" t="s">
        <v>607</v>
      </c>
      <c r="D359" s="399" t="s">
        <v>391</v>
      </c>
      <c r="E359" s="385"/>
      <c r="F359" s="385"/>
      <c r="G359" s="430"/>
      <c r="H359" s="401" t="s">
        <v>3807</v>
      </c>
      <c r="I359" s="385" t="s">
        <v>3810</v>
      </c>
      <c r="J359" s="489"/>
      <c r="K359" s="412"/>
      <c r="L359" s="412"/>
      <c r="M359" s="490" t="s">
        <v>813</v>
      </c>
      <c r="N359" s="424">
        <v>930</v>
      </c>
    </row>
    <row r="360" spans="1:14" s="505" customFormat="1" ht="40.5" hidden="1" outlineLevel="3">
      <c r="A360" s="438"/>
      <c r="B360" s="490" t="s">
        <v>54</v>
      </c>
      <c r="C360" s="398" t="s">
        <v>607</v>
      </c>
      <c r="D360" s="399" t="s">
        <v>391</v>
      </c>
      <c r="E360" s="385"/>
      <c r="F360" s="385"/>
      <c r="G360" s="430"/>
      <c r="H360" s="401" t="s">
        <v>3808</v>
      </c>
      <c r="I360" s="385" t="s">
        <v>3811</v>
      </c>
      <c r="J360" s="489"/>
      <c r="K360" s="412"/>
      <c r="L360" s="412"/>
      <c r="M360" s="490" t="s">
        <v>813</v>
      </c>
      <c r="N360" s="424">
        <v>560</v>
      </c>
    </row>
    <row r="361" spans="1:14" s="505" customFormat="1" ht="40.5" hidden="1" outlineLevel="3">
      <c r="A361" s="438" t="s">
        <v>3332</v>
      </c>
      <c r="B361" s="438" t="s">
        <v>54</v>
      </c>
      <c r="C361" s="438" t="s">
        <v>520</v>
      </c>
      <c r="D361" s="399" t="s">
        <v>391</v>
      </c>
      <c r="E361" s="385" t="s">
        <v>1562</v>
      </c>
      <c r="F361" s="385" t="s">
        <v>303</v>
      </c>
      <c r="G361" s="430"/>
      <c r="H361" s="401" t="s">
        <v>3812</v>
      </c>
      <c r="I361" s="385" t="str">
        <f>CONCATENATE(I362," ",N362,M362," ",I363," ",N363,M363," ",I364," ",N364,M364," ",)</f>
        <v xml:space="preserve">Механизированная расчистка 2,1га Ручная расчистка 0,7га вырубка деревьев 1035шт </v>
      </c>
      <c r="J361" s="385" t="s">
        <v>365</v>
      </c>
      <c r="K361" s="412" t="s">
        <v>3799</v>
      </c>
      <c r="L361" s="412" t="s">
        <v>3800</v>
      </c>
      <c r="M361" s="540"/>
      <c r="N361" s="542"/>
    </row>
    <row r="362" spans="1:14" s="505" customFormat="1" hidden="1" outlineLevel="3">
      <c r="A362" s="438"/>
      <c r="B362" s="490" t="s">
        <v>54</v>
      </c>
      <c r="C362" s="398" t="s">
        <v>520</v>
      </c>
      <c r="D362" s="399" t="s">
        <v>391</v>
      </c>
      <c r="E362" s="385"/>
      <c r="F362" s="385"/>
      <c r="G362" s="430"/>
      <c r="H362" s="401" t="s">
        <v>3813</v>
      </c>
      <c r="I362" s="385" t="s">
        <v>159</v>
      </c>
      <c r="J362" s="489"/>
      <c r="K362" s="412"/>
      <c r="L362" s="412"/>
      <c r="M362" s="490" t="s">
        <v>117</v>
      </c>
      <c r="N362" s="424">
        <v>2.1</v>
      </c>
    </row>
    <row r="363" spans="1:14" s="505" customFormat="1" hidden="1" outlineLevel="3">
      <c r="A363" s="438"/>
      <c r="B363" s="490" t="s">
        <v>54</v>
      </c>
      <c r="C363" s="398" t="s">
        <v>520</v>
      </c>
      <c r="D363" s="399" t="s">
        <v>391</v>
      </c>
      <c r="E363" s="385"/>
      <c r="F363" s="385"/>
      <c r="G363" s="430"/>
      <c r="H363" s="401" t="s">
        <v>3814</v>
      </c>
      <c r="I363" s="385" t="s">
        <v>162</v>
      </c>
      <c r="J363" s="489"/>
      <c r="K363" s="412"/>
      <c r="L363" s="412"/>
      <c r="M363" s="490" t="s">
        <v>117</v>
      </c>
      <c r="N363" s="424">
        <v>0.7</v>
      </c>
    </row>
    <row r="364" spans="1:14" s="505" customFormat="1" ht="40.5" hidden="1" outlineLevel="3">
      <c r="A364" s="438"/>
      <c r="B364" s="490" t="s">
        <v>54</v>
      </c>
      <c r="C364" s="398" t="s">
        <v>520</v>
      </c>
      <c r="D364" s="399" t="s">
        <v>391</v>
      </c>
      <c r="E364" s="385"/>
      <c r="F364" s="385"/>
      <c r="G364" s="430"/>
      <c r="H364" s="401" t="s">
        <v>3815</v>
      </c>
      <c r="I364" s="385" t="s">
        <v>3816</v>
      </c>
      <c r="J364" s="489"/>
      <c r="K364" s="412"/>
      <c r="L364" s="412"/>
      <c r="M364" s="490" t="s">
        <v>813</v>
      </c>
      <c r="N364" s="424">
        <v>1035</v>
      </c>
    </row>
    <row r="365" spans="1:14" s="505" customFormat="1" hidden="1" outlineLevel="3">
      <c r="A365" s="438"/>
      <c r="B365" s="490" t="s">
        <v>54</v>
      </c>
      <c r="C365" s="398" t="s">
        <v>520</v>
      </c>
      <c r="D365" s="399" t="s">
        <v>391</v>
      </c>
      <c r="E365" s="385"/>
      <c r="F365" s="385"/>
      <c r="G365" s="430"/>
      <c r="H365" s="401" t="s">
        <v>3817</v>
      </c>
      <c r="I365" s="385" t="s">
        <v>3818</v>
      </c>
      <c r="J365" s="489"/>
      <c r="K365" s="412"/>
      <c r="L365" s="412"/>
      <c r="M365" s="490" t="s">
        <v>813</v>
      </c>
      <c r="N365" s="424">
        <v>290</v>
      </c>
    </row>
    <row r="366" spans="1:14" s="504" customFormat="1" ht="40.5" hidden="1" outlineLevel="3">
      <c r="A366" s="438" t="s">
        <v>3333</v>
      </c>
      <c r="B366" s="438" t="s">
        <v>54</v>
      </c>
      <c r="C366" s="438" t="s">
        <v>520</v>
      </c>
      <c r="D366" s="399" t="s">
        <v>391</v>
      </c>
      <c r="E366" s="385" t="s">
        <v>3772</v>
      </c>
      <c r="F366" s="385" t="s">
        <v>303</v>
      </c>
      <c r="G366" s="430"/>
      <c r="H366" s="401" t="s">
        <v>3773</v>
      </c>
      <c r="I366" s="385" t="str">
        <f>CONCATENATE(I367," ",N367,M367," ",I368," ",N368,M368," ",I369," ",N369,M369," ",)</f>
        <v xml:space="preserve">Механизированная расчистка 2,9га Ручная расчистка 3,19га вырубка деревьев 1380шт </v>
      </c>
      <c r="J366" s="385" t="s">
        <v>365</v>
      </c>
      <c r="K366" s="412" t="s">
        <v>3799</v>
      </c>
      <c r="L366" s="412" t="s">
        <v>3800</v>
      </c>
      <c r="M366" s="540"/>
      <c r="N366" s="542"/>
    </row>
    <row r="367" spans="1:14" s="505" customFormat="1" hidden="1" outlineLevel="3">
      <c r="A367" s="438"/>
      <c r="B367" s="490" t="s">
        <v>54</v>
      </c>
      <c r="C367" s="398" t="s">
        <v>520</v>
      </c>
      <c r="D367" s="399" t="s">
        <v>391</v>
      </c>
      <c r="E367" s="385"/>
      <c r="F367" s="385"/>
      <c r="G367" s="430"/>
      <c r="H367" s="401" t="s">
        <v>3819</v>
      </c>
      <c r="I367" s="385" t="s">
        <v>159</v>
      </c>
      <c r="J367" s="489"/>
      <c r="K367" s="412"/>
      <c r="L367" s="412"/>
      <c r="M367" s="490" t="s">
        <v>117</v>
      </c>
      <c r="N367" s="424">
        <v>2.9</v>
      </c>
    </row>
    <row r="368" spans="1:14" s="505" customFormat="1" ht="40.5" hidden="1" outlineLevel="3">
      <c r="A368" s="438"/>
      <c r="B368" s="490" t="s">
        <v>54</v>
      </c>
      <c r="C368" s="398" t="s">
        <v>520</v>
      </c>
      <c r="D368" s="399" t="s">
        <v>391</v>
      </c>
      <c r="E368" s="385"/>
      <c r="F368" s="385"/>
      <c r="G368" s="430"/>
      <c r="H368" s="401" t="s">
        <v>3820</v>
      </c>
      <c r="I368" s="385" t="s">
        <v>162</v>
      </c>
      <c r="J368" s="489"/>
      <c r="K368" s="412"/>
      <c r="L368" s="412"/>
      <c r="M368" s="490" t="s">
        <v>117</v>
      </c>
      <c r="N368" s="424">
        <v>3.19</v>
      </c>
    </row>
    <row r="369" spans="1:130" s="505" customFormat="1" hidden="1" outlineLevel="3">
      <c r="A369" s="438"/>
      <c r="B369" s="490" t="s">
        <v>54</v>
      </c>
      <c r="C369" s="398" t="s">
        <v>520</v>
      </c>
      <c r="D369" s="399" t="s">
        <v>391</v>
      </c>
      <c r="E369" s="385"/>
      <c r="F369" s="385"/>
      <c r="G369" s="430"/>
      <c r="H369" s="401" t="s">
        <v>3821</v>
      </c>
      <c r="I369" s="385" t="s">
        <v>3816</v>
      </c>
      <c r="J369" s="489"/>
      <c r="K369" s="412"/>
      <c r="L369" s="412"/>
      <c r="M369" s="490" t="s">
        <v>813</v>
      </c>
      <c r="N369" s="424">
        <v>1380</v>
      </c>
    </row>
    <row r="370" spans="1:130" s="505" customFormat="1" hidden="1" outlineLevel="3">
      <c r="A370" s="438"/>
      <c r="B370" s="490" t="s">
        <v>54</v>
      </c>
      <c r="C370" s="398" t="s">
        <v>520</v>
      </c>
      <c r="D370" s="399" t="s">
        <v>391</v>
      </c>
      <c r="E370" s="385"/>
      <c r="F370" s="385"/>
      <c r="G370" s="430"/>
      <c r="H370" s="401" t="s">
        <v>3822</v>
      </c>
      <c r="I370" s="385" t="s">
        <v>3818</v>
      </c>
      <c r="J370" s="489"/>
      <c r="K370" s="412"/>
      <c r="L370" s="412"/>
      <c r="M370" s="490" t="s">
        <v>117</v>
      </c>
      <c r="N370" s="424">
        <v>450</v>
      </c>
    </row>
    <row r="371" spans="1:130" s="504" customFormat="1" ht="40.5" hidden="1" outlineLevel="3">
      <c r="A371" s="438" t="s">
        <v>3334</v>
      </c>
      <c r="B371" s="438" t="s">
        <v>54</v>
      </c>
      <c r="C371" s="438" t="s">
        <v>520</v>
      </c>
      <c r="D371" s="399" t="s">
        <v>391</v>
      </c>
      <c r="E371" s="385" t="s">
        <v>3774</v>
      </c>
      <c r="F371" s="385" t="s">
        <v>303</v>
      </c>
      <c r="G371" s="430"/>
      <c r="H371" s="401" t="s">
        <v>3775</v>
      </c>
      <c r="I371" s="385" t="str">
        <f>CONCATENATE(I372," ",N372,M372," ",I373," ",N373,M373," ",)</f>
        <v xml:space="preserve">вырубка угрожающих деревьев 640шт Ручная расчистка 3,1га </v>
      </c>
      <c r="J371" s="385" t="s">
        <v>365</v>
      </c>
      <c r="K371" s="412" t="s">
        <v>3799</v>
      </c>
      <c r="L371" s="412" t="s">
        <v>3800</v>
      </c>
      <c r="M371" s="540"/>
      <c r="N371" s="542"/>
    </row>
    <row r="372" spans="1:130" s="504" customFormat="1" ht="40.5" hidden="1" outlineLevel="3">
      <c r="A372" s="438"/>
      <c r="B372" s="490" t="s">
        <v>54</v>
      </c>
      <c r="C372" s="398" t="s">
        <v>520</v>
      </c>
      <c r="D372" s="399" t="s">
        <v>391</v>
      </c>
      <c r="E372" s="385"/>
      <c r="F372" s="385"/>
      <c r="G372" s="430"/>
      <c r="H372" s="401" t="s">
        <v>3823</v>
      </c>
      <c r="I372" s="385" t="s">
        <v>971</v>
      </c>
      <c r="J372" s="489"/>
      <c r="K372" s="412"/>
      <c r="L372" s="412"/>
      <c r="M372" s="490" t="s">
        <v>813</v>
      </c>
      <c r="N372" s="424">
        <v>640</v>
      </c>
    </row>
    <row r="373" spans="1:130" s="504" customFormat="1" ht="40.5" hidden="1" outlineLevel="3">
      <c r="A373" s="438"/>
      <c r="B373" s="490" t="s">
        <v>54</v>
      </c>
      <c r="C373" s="398" t="s">
        <v>520</v>
      </c>
      <c r="D373" s="399" t="s">
        <v>391</v>
      </c>
      <c r="E373" s="385"/>
      <c r="F373" s="385"/>
      <c r="G373" s="430"/>
      <c r="H373" s="401" t="s">
        <v>3824</v>
      </c>
      <c r="I373" s="385" t="s">
        <v>162</v>
      </c>
      <c r="J373" s="489"/>
      <c r="K373" s="412"/>
      <c r="L373" s="412"/>
      <c r="M373" s="490" t="s">
        <v>117</v>
      </c>
      <c r="N373" s="424">
        <v>3.1</v>
      </c>
    </row>
    <row r="374" spans="1:130" s="505" customFormat="1" ht="40.5" hidden="1" outlineLevel="3">
      <c r="A374" s="438" t="s">
        <v>3825</v>
      </c>
      <c r="B374" s="438" t="s">
        <v>54</v>
      </c>
      <c r="C374" s="438" t="s">
        <v>520</v>
      </c>
      <c r="D374" s="399" t="s">
        <v>391</v>
      </c>
      <c r="E374" s="385" t="s">
        <v>3826</v>
      </c>
      <c r="F374" s="385" t="s">
        <v>303</v>
      </c>
      <c r="G374" s="430"/>
      <c r="H374" s="401" t="s">
        <v>3827</v>
      </c>
      <c r="I374" s="385" t="str">
        <f>CONCATENATE(I375," ",N375,M375," ",I376," ",N376,M376," ",I377," ",N377,M377," ",)</f>
        <v xml:space="preserve">вырубка угрожающих  деревьев 140шт Ручная расчистка 0,49га обрезка крон 75шт </v>
      </c>
      <c r="J374" s="385" t="s">
        <v>365</v>
      </c>
      <c r="K374" s="412" t="s">
        <v>3799</v>
      </c>
      <c r="L374" s="412" t="s">
        <v>3800</v>
      </c>
      <c r="M374" s="540"/>
      <c r="N374" s="542"/>
    </row>
    <row r="375" spans="1:130" s="505" customFormat="1" hidden="1" outlineLevel="3">
      <c r="A375" s="438"/>
      <c r="B375" s="490" t="s">
        <v>54</v>
      </c>
      <c r="C375" s="398" t="s">
        <v>520</v>
      </c>
      <c r="D375" s="399" t="s">
        <v>391</v>
      </c>
      <c r="E375" s="385"/>
      <c r="F375" s="385"/>
      <c r="G375" s="430"/>
      <c r="H375" s="401" t="s">
        <v>3828</v>
      </c>
      <c r="I375" s="385" t="s">
        <v>3810</v>
      </c>
      <c r="J375" s="489"/>
      <c r="K375" s="412"/>
      <c r="L375" s="412"/>
      <c r="M375" s="490" t="s">
        <v>813</v>
      </c>
      <c r="N375" s="424">
        <v>140</v>
      </c>
    </row>
    <row r="376" spans="1:130" s="505" customFormat="1" hidden="1" outlineLevel="3">
      <c r="A376" s="438"/>
      <c r="B376" s="490" t="s">
        <v>54</v>
      </c>
      <c r="C376" s="398" t="s">
        <v>520</v>
      </c>
      <c r="D376" s="399" t="s">
        <v>391</v>
      </c>
      <c r="E376" s="385"/>
      <c r="F376" s="385"/>
      <c r="G376" s="430"/>
      <c r="H376" s="401" t="s">
        <v>3829</v>
      </c>
      <c r="I376" s="385" t="s">
        <v>162</v>
      </c>
      <c r="J376" s="489"/>
      <c r="K376" s="412"/>
      <c r="L376" s="412"/>
      <c r="M376" s="490" t="s">
        <v>117</v>
      </c>
      <c r="N376" s="424">
        <v>0.49</v>
      </c>
    </row>
    <row r="377" spans="1:130" s="505" customFormat="1" hidden="1" outlineLevel="3">
      <c r="A377" s="438"/>
      <c r="B377" s="490" t="s">
        <v>54</v>
      </c>
      <c r="C377" s="398" t="s">
        <v>520</v>
      </c>
      <c r="D377" s="399" t="s">
        <v>391</v>
      </c>
      <c r="E377" s="385"/>
      <c r="F377" s="385"/>
      <c r="G377" s="430"/>
      <c r="H377" s="401" t="s">
        <v>3830</v>
      </c>
      <c r="I377" s="385" t="s">
        <v>3818</v>
      </c>
      <c r="J377" s="489"/>
      <c r="K377" s="412"/>
      <c r="L377" s="412"/>
      <c r="M377" s="490" t="s">
        <v>813</v>
      </c>
      <c r="N377" s="424">
        <v>75</v>
      </c>
    </row>
    <row r="378" spans="1:130" s="433" customFormat="1" outlineLevel="1" collapsed="1">
      <c r="A378" s="403" t="s">
        <v>900</v>
      </c>
      <c r="B378" s="403"/>
      <c r="C378" s="403"/>
      <c r="D378" s="403"/>
      <c r="E378" s="490"/>
      <c r="F378" s="385"/>
      <c r="G378" s="385"/>
      <c r="H378" s="539" t="s">
        <v>901</v>
      </c>
      <c r="I378" s="385"/>
      <c r="J378" s="489"/>
      <c r="K378" s="412"/>
      <c r="L378" s="412"/>
      <c r="M378" s="432"/>
      <c r="N378" s="432"/>
    </row>
    <row r="379" spans="1:130" s="407" customFormat="1" ht="81" customHeight="1" outlineLevel="1" collapsed="1">
      <c r="A379" s="489" t="s">
        <v>1298</v>
      </c>
      <c r="B379" s="490" t="s">
        <v>298</v>
      </c>
      <c r="C379" s="398" t="s">
        <v>578</v>
      </c>
      <c r="D379" s="399" t="s">
        <v>391</v>
      </c>
      <c r="E379" s="490" t="s">
        <v>902</v>
      </c>
      <c r="F379" s="385" t="s">
        <v>303</v>
      </c>
      <c r="G379" s="385"/>
      <c r="H379" s="401" t="s">
        <v>1234</v>
      </c>
      <c r="I379" s="385" t="str">
        <f>CONCATENATE(I380," ",N380,M380," ",I381," ",N381,M381,," ",)</f>
        <v xml:space="preserve">Монтаж кабеля 0,03км монтаж муфт 2шт. </v>
      </c>
      <c r="J379" s="385" t="s">
        <v>365</v>
      </c>
      <c r="K379" s="450">
        <v>44378</v>
      </c>
      <c r="L379" s="450">
        <v>44408</v>
      </c>
      <c r="M379" s="490"/>
      <c r="N379" s="490"/>
      <c r="O379" s="406"/>
      <c r="P379" s="406"/>
      <c r="Q379" s="406"/>
      <c r="R379" s="406"/>
      <c r="S379" s="406"/>
      <c r="T379" s="406"/>
      <c r="U379" s="406"/>
      <c r="V379" s="406"/>
      <c r="W379" s="406"/>
      <c r="X379" s="406"/>
      <c r="Y379" s="406"/>
      <c r="Z379" s="406"/>
      <c r="AA379" s="406"/>
      <c r="AB379" s="406"/>
      <c r="AC379" s="406"/>
      <c r="AD379" s="406"/>
      <c r="AE379" s="406"/>
      <c r="AF379" s="406"/>
      <c r="AG379" s="406"/>
      <c r="AH379" s="406"/>
      <c r="AI379" s="406"/>
      <c r="AJ379" s="406"/>
      <c r="AK379" s="406"/>
      <c r="AL379" s="406"/>
      <c r="AM379" s="406"/>
      <c r="AN379" s="406"/>
      <c r="AO379" s="406"/>
      <c r="AP379" s="406"/>
      <c r="AQ379" s="406"/>
      <c r="AR379" s="406"/>
      <c r="AS379" s="406"/>
      <c r="AT379" s="406"/>
      <c r="AU379" s="406"/>
      <c r="AV379" s="406"/>
      <c r="AW379" s="406"/>
      <c r="AX379" s="406"/>
      <c r="AY379" s="406"/>
      <c r="AZ379" s="406"/>
      <c r="BA379" s="406"/>
      <c r="BB379" s="406"/>
      <c r="BC379" s="406"/>
      <c r="BD379" s="406"/>
      <c r="BE379" s="406"/>
      <c r="BF379" s="406"/>
      <c r="BG379" s="406"/>
      <c r="BH379" s="406"/>
      <c r="BI379" s="406"/>
      <c r="BJ379" s="406"/>
      <c r="BK379" s="406"/>
      <c r="BL379" s="406"/>
      <c r="BM379" s="406"/>
      <c r="BN379" s="406"/>
      <c r="BO379" s="406"/>
      <c r="BP379" s="406"/>
      <c r="BQ379" s="406"/>
      <c r="BR379" s="406"/>
      <c r="BS379" s="406"/>
      <c r="BT379" s="406"/>
      <c r="BU379" s="406"/>
      <c r="BV379" s="406"/>
      <c r="BW379" s="406"/>
      <c r="BX379" s="406"/>
      <c r="BY379" s="406"/>
      <c r="BZ379" s="406"/>
      <c r="CA379" s="406"/>
      <c r="CB379" s="406"/>
      <c r="CC379" s="406"/>
      <c r="CD379" s="406"/>
      <c r="CE379" s="406"/>
      <c r="CF379" s="406"/>
      <c r="CG379" s="406"/>
      <c r="CH379" s="406"/>
      <c r="CI379" s="406"/>
      <c r="CJ379" s="406"/>
      <c r="CK379" s="406"/>
      <c r="CL379" s="406"/>
      <c r="CM379" s="406"/>
      <c r="CN379" s="406"/>
      <c r="CO379" s="406"/>
      <c r="CP379" s="406"/>
      <c r="CQ379" s="406"/>
      <c r="CR379" s="406"/>
      <c r="CS379" s="406"/>
      <c r="CT379" s="406"/>
      <c r="CU379" s="406"/>
      <c r="CV379" s="406"/>
      <c r="CW379" s="406"/>
      <c r="CX379" s="406"/>
      <c r="CY379" s="406"/>
      <c r="CZ379" s="406"/>
      <c r="DA379" s="406"/>
      <c r="DB379" s="406"/>
      <c r="DC379" s="406"/>
      <c r="DD379" s="406"/>
      <c r="DE379" s="406"/>
      <c r="DF379" s="406"/>
      <c r="DG379" s="406"/>
      <c r="DH379" s="406"/>
      <c r="DI379" s="406"/>
      <c r="DJ379" s="406"/>
      <c r="DK379" s="406"/>
      <c r="DL379" s="406"/>
      <c r="DM379" s="406"/>
      <c r="DN379" s="406"/>
      <c r="DO379" s="406"/>
      <c r="DP379" s="406"/>
      <c r="DQ379" s="406"/>
      <c r="DR379" s="406"/>
      <c r="DS379" s="406"/>
      <c r="DT379" s="406"/>
      <c r="DU379" s="406"/>
      <c r="DV379" s="406"/>
      <c r="DW379" s="406"/>
      <c r="DX379" s="406"/>
      <c r="DY379" s="406"/>
      <c r="DZ379" s="406"/>
    </row>
    <row r="380" spans="1:130" s="491" customFormat="1" hidden="1" outlineLevel="2">
      <c r="A380" s="438"/>
      <c r="B380" s="438" t="s">
        <v>298</v>
      </c>
      <c r="C380" s="438" t="s">
        <v>578</v>
      </c>
      <c r="D380" s="408" t="s">
        <v>391</v>
      </c>
      <c r="E380" s="385"/>
      <c r="F380" s="385"/>
      <c r="G380" s="385"/>
      <c r="H380" s="401"/>
      <c r="I380" s="385" t="s">
        <v>193</v>
      </c>
      <c r="J380" s="489"/>
      <c r="K380" s="412"/>
      <c r="L380" s="412"/>
      <c r="M380" s="490" t="s">
        <v>308</v>
      </c>
      <c r="N380" s="490">
        <v>0.03</v>
      </c>
    </row>
    <row r="381" spans="1:130" s="491" customFormat="1" hidden="1" outlineLevel="2">
      <c r="A381" s="438"/>
      <c r="B381" s="438" t="s">
        <v>298</v>
      </c>
      <c r="C381" s="438" t="s">
        <v>578</v>
      </c>
      <c r="D381" s="408" t="s">
        <v>391</v>
      </c>
      <c r="E381" s="385"/>
      <c r="F381" s="385"/>
      <c r="G381" s="430"/>
      <c r="H381" s="401"/>
      <c r="I381" s="385" t="s">
        <v>903</v>
      </c>
      <c r="J381" s="489"/>
      <c r="K381" s="412"/>
      <c r="L381" s="412"/>
      <c r="M381" s="490" t="s">
        <v>37</v>
      </c>
      <c r="N381" s="424">
        <v>2</v>
      </c>
    </row>
    <row r="382" spans="1:130" s="407" customFormat="1" ht="81" customHeight="1" outlineLevel="1" collapsed="1">
      <c r="A382" s="489" t="s">
        <v>1299</v>
      </c>
      <c r="B382" s="490" t="s">
        <v>298</v>
      </c>
      <c r="C382" s="398" t="s">
        <v>578</v>
      </c>
      <c r="D382" s="399" t="s">
        <v>391</v>
      </c>
      <c r="E382" s="490" t="s">
        <v>904</v>
      </c>
      <c r="F382" s="385" t="s">
        <v>303</v>
      </c>
      <c r="G382" s="385"/>
      <c r="H382" s="401" t="s">
        <v>1235</v>
      </c>
      <c r="I382" s="385" t="str">
        <f>CONCATENATE(I383," ",N383,M383," ",I384," ",N384,M384,," ",)</f>
        <v xml:space="preserve">Монтаж кабеля 0,03км монтаж муфт 2шт. </v>
      </c>
      <c r="J382" s="385" t="s">
        <v>365</v>
      </c>
      <c r="K382" s="450">
        <v>44317</v>
      </c>
      <c r="L382" s="450">
        <v>44347</v>
      </c>
      <c r="M382" s="490"/>
      <c r="N382" s="490"/>
      <c r="O382" s="406"/>
      <c r="P382" s="406"/>
      <c r="Q382" s="406"/>
      <c r="R382" s="406"/>
      <c r="S382" s="406"/>
      <c r="T382" s="406"/>
      <c r="U382" s="406"/>
      <c r="V382" s="406"/>
      <c r="W382" s="406"/>
      <c r="X382" s="406"/>
      <c r="Y382" s="406"/>
      <c r="Z382" s="406"/>
      <c r="AA382" s="406"/>
      <c r="AB382" s="406"/>
      <c r="AC382" s="406"/>
      <c r="AD382" s="406"/>
      <c r="AE382" s="406"/>
      <c r="AF382" s="406"/>
      <c r="AG382" s="406"/>
      <c r="AH382" s="406"/>
      <c r="AI382" s="406"/>
      <c r="AJ382" s="406"/>
      <c r="AK382" s="406"/>
      <c r="AL382" s="406"/>
      <c r="AM382" s="406"/>
      <c r="AN382" s="406"/>
      <c r="AO382" s="406"/>
      <c r="AP382" s="406"/>
      <c r="AQ382" s="406"/>
      <c r="AR382" s="406"/>
      <c r="AS382" s="406"/>
      <c r="AT382" s="406"/>
      <c r="AU382" s="406"/>
      <c r="AV382" s="406"/>
      <c r="AW382" s="406"/>
      <c r="AX382" s="406"/>
      <c r="AY382" s="406"/>
      <c r="AZ382" s="406"/>
      <c r="BA382" s="406"/>
      <c r="BB382" s="406"/>
      <c r="BC382" s="406"/>
      <c r="BD382" s="406"/>
      <c r="BE382" s="406"/>
      <c r="BF382" s="406"/>
      <c r="BG382" s="406"/>
      <c r="BH382" s="406"/>
      <c r="BI382" s="406"/>
      <c r="BJ382" s="406"/>
      <c r="BK382" s="406"/>
      <c r="BL382" s="406"/>
      <c r="BM382" s="406"/>
      <c r="BN382" s="406"/>
      <c r="BO382" s="406"/>
      <c r="BP382" s="406"/>
      <c r="BQ382" s="406"/>
      <c r="BR382" s="406"/>
      <c r="BS382" s="406"/>
      <c r="BT382" s="406"/>
      <c r="BU382" s="406"/>
      <c r="BV382" s="406"/>
      <c r="BW382" s="406"/>
      <c r="BX382" s="406"/>
      <c r="BY382" s="406"/>
      <c r="BZ382" s="406"/>
      <c r="CA382" s="406"/>
      <c r="CB382" s="406"/>
      <c r="CC382" s="406"/>
      <c r="CD382" s="406"/>
      <c r="CE382" s="406"/>
      <c r="CF382" s="406"/>
      <c r="CG382" s="406"/>
      <c r="CH382" s="406"/>
      <c r="CI382" s="406"/>
      <c r="CJ382" s="406"/>
      <c r="CK382" s="406"/>
      <c r="CL382" s="406"/>
      <c r="CM382" s="406"/>
      <c r="CN382" s="406"/>
      <c r="CO382" s="406"/>
      <c r="CP382" s="406"/>
      <c r="CQ382" s="406"/>
      <c r="CR382" s="406"/>
      <c r="CS382" s="406"/>
      <c r="CT382" s="406"/>
      <c r="CU382" s="406"/>
      <c r="CV382" s="406"/>
      <c r="CW382" s="406"/>
      <c r="CX382" s="406"/>
      <c r="CY382" s="406"/>
      <c r="CZ382" s="406"/>
      <c r="DA382" s="406"/>
      <c r="DB382" s="406"/>
      <c r="DC382" s="406"/>
      <c r="DD382" s="406"/>
      <c r="DE382" s="406"/>
      <c r="DF382" s="406"/>
      <c r="DG382" s="406"/>
      <c r="DH382" s="406"/>
      <c r="DI382" s="406"/>
      <c r="DJ382" s="406"/>
      <c r="DK382" s="406"/>
      <c r="DL382" s="406"/>
      <c r="DM382" s="406"/>
      <c r="DN382" s="406"/>
      <c r="DO382" s="406"/>
      <c r="DP382" s="406"/>
      <c r="DQ382" s="406"/>
      <c r="DR382" s="406"/>
      <c r="DS382" s="406"/>
      <c r="DT382" s="406"/>
      <c r="DU382" s="406"/>
      <c r="DV382" s="406"/>
      <c r="DW382" s="406"/>
      <c r="DX382" s="406"/>
      <c r="DY382" s="406"/>
      <c r="DZ382" s="406"/>
    </row>
    <row r="383" spans="1:130" s="491" customFormat="1" hidden="1" outlineLevel="2">
      <c r="A383" s="438"/>
      <c r="B383" s="438" t="s">
        <v>298</v>
      </c>
      <c r="C383" s="438" t="s">
        <v>578</v>
      </c>
      <c r="D383" s="408" t="s">
        <v>391</v>
      </c>
      <c r="E383" s="385"/>
      <c r="F383" s="385"/>
      <c r="G383" s="385"/>
      <c r="H383" s="401"/>
      <c r="I383" s="385" t="s">
        <v>193</v>
      </c>
      <c r="J383" s="489"/>
      <c r="K383" s="412"/>
      <c r="L383" s="412"/>
      <c r="M383" s="490" t="s">
        <v>308</v>
      </c>
      <c r="N383" s="490">
        <v>0.03</v>
      </c>
    </row>
    <row r="384" spans="1:130" s="491" customFormat="1" hidden="1" outlineLevel="2">
      <c r="A384" s="438"/>
      <c r="B384" s="438" t="s">
        <v>298</v>
      </c>
      <c r="C384" s="438" t="s">
        <v>578</v>
      </c>
      <c r="D384" s="408" t="s">
        <v>391</v>
      </c>
      <c r="E384" s="385"/>
      <c r="F384" s="385"/>
      <c r="G384" s="430"/>
      <c r="H384" s="401"/>
      <c r="I384" s="385" t="s">
        <v>903</v>
      </c>
      <c r="J384" s="489"/>
      <c r="K384" s="412"/>
      <c r="L384" s="412"/>
      <c r="M384" s="490" t="s">
        <v>37</v>
      </c>
      <c r="N384" s="424">
        <v>2</v>
      </c>
    </row>
    <row r="385" spans="1:130" s="407" customFormat="1" ht="81" customHeight="1" outlineLevel="1" collapsed="1">
      <c r="A385" s="489" t="s">
        <v>1300</v>
      </c>
      <c r="B385" s="490" t="s">
        <v>298</v>
      </c>
      <c r="C385" s="398" t="s">
        <v>578</v>
      </c>
      <c r="D385" s="399" t="s">
        <v>391</v>
      </c>
      <c r="E385" s="490" t="s">
        <v>905</v>
      </c>
      <c r="F385" s="385" t="s">
        <v>303</v>
      </c>
      <c r="G385" s="385"/>
      <c r="H385" s="401" t="s">
        <v>1236</v>
      </c>
      <c r="I385" s="385" t="str">
        <f>CONCATENATE(I386," ",N386,M386," ",I387," ",N387,M387,," ",)</f>
        <v xml:space="preserve">Монтаж кабеля 0,03км монтаж муфт 2шт. </v>
      </c>
      <c r="J385" s="385" t="s">
        <v>365</v>
      </c>
      <c r="K385" s="450">
        <v>44348</v>
      </c>
      <c r="L385" s="450">
        <v>44377</v>
      </c>
      <c r="M385" s="490"/>
      <c r="N385" s="490"/>
      <c r="O385" s="406"/>
      <c r="P385" s="406"/>
      <c r="Q385" s="406"/>
      <c r="R385" s="406"/>
      <c r="S385" s="406"/>
      <c r="T385" s="406"/>
      <c r="U385" s="406"/>
      <c r="V385" s="406"/>
      <c r="W385" s="406"/>
      <c r="X385" s="406"/>
      <c r="Y385" s="406"/>
      <c r="Z385" s="406"/>
      <c r="AA385" s="406"/>
      <c r="AB385" s="406"/>
      <c r="AC385" s="406"/>
      <c r="AD385" s="406"/>
      <c r="AE385" s="406"/>
      <c r="AF385" s="406"/>
      <c r="AG385" s="406"/>
      <c r="AH385" s="406"/>
      <c r="AI385" s="406"/>
      <c r="AJ385" s="406"/>
      <c r="AK385" s="406"/>
      <c r="AL385" s="406"/>
      <c r="AM385" s="406"/>
      <c r="AN385" s="406"/>
      <c r="AO385" s="406"/>
      <c r="AP385" s="406"/>
      <c r="AQ385" s="406"/>
      <c r="AR385" s="406"/>
      <c r="AS385" s="406"/>
      <c r="AT385" s="406"/>
      <c r="AU385" s="406"/>
      <c r="AV385" s="406"/>
      <c r="AW385" s="406"/>
      <c r="AX385" s="406"/>
      <c r="AY385" s="406"/>
      <c r="AZ385" s="406"/>
      <c r="BA385" s="406"/>
      <c r="BB385" s="406"/>
      <c r="BC385" s="406"/>
      <c r="BD385" s="406"/>
      <c r="BE385" s="406"/>
      <c r="BF385" s="406"/>
      <c r="BG385" s="406"/>
      <c r="BH385" s="406"/>
      <c r="BI385" s="406"/>
      <c r="BJ385" s="406"/>
      <c r="BK385" s="406"/>
      <c r="BL385" s="406"/>
      <c r="BM385" s="406"/>
      <c r="BN385" s="406"/>
      <c r="BO385" s="406"/>
      <c r="BP385" s="406"/>
      <c r="BQ385" s="406"/>
      <c r="BR385" s="406"/>
      <c r="BS385" s="406"/>
      <c r="BT385" s="406"/>
      <c r="BU385" s="406"/>
      <c r="BV385" s="406"/>
      <c r="BW385" s="406"/>
      <c r="BX385" s="406"/>
      <c r="BY385" s="406"/>
      <c r="BZ385" s="406"/>
      <c r="CA385" s="406"/>
      <c r="CB385" s="406"/>
      <c r="CC385" s="406"/>
      <c r="CD385" s="406"/>
      <c r="CE385" s="406"/>
      <c r="CF385" s="406"/>
      <c r="CG385" s="406"/>
      <c r="CH385" s="406"/>
      <c r="CI385" s="406"/>
      <c r="CJ385" s="406"/>
      <c r="CK385" s="406"/>
      <c r="CL385" s="406"/>
      <c r="CM385" s="406"/>
      <c r="CN385" s="406"/>
      <c r="CO385" s="406"/>
      <c r="CP385" s="406"/>
      <c r="CQ385" s="406"/>
      <c r="CR385" s="406"/>
      <c r="CS385" s="406"/>
      <c r="CT385" s="406"/>
      <c r="CU385" s="406"/>
      <c r="CV385" s="406"/>
      <c r="CW385" s="406"/>
      <c r="CX385" s="406"/>
      <c r="CY385" s="406"/>
      <c r="CZ385" s="406"/>
      <c r="DA385" s="406"/>
      <c r="DB385" s="406"/>
      <c r="DC385" s="406"/>
      <c r="DD385" s="406"/>
      <c r="DE385" s="406"/>
      <c r="DF385" s="406"/>
      <c r="DG385" s="406"/>
      <c r="DH385" s="406"/>
      <c r="DI385" s="406"/>
      <c r="DJ385" s="406"/>
      <c r="DK385" s="406"/>
      <c r="DL385" s="406"/>
      <c r="DM385" s="406"/>
      <c r="DN385" s="406"/>
      <c r="DO385" s="406"/>
      <c r="DP385" s="406"/>
      <c r="DQ385" s="406"/>
      <c r="DR385" s="406"/>
      <c r="DS385" s="406"/>
      <c r="DT385" s="406"/>
      <c r="DU385" s="406"/>
      <c r="DV385" s="406"/>
      <c r="DW385" s="406"/>
      <c r="DX385" s="406"/>
      <c r="DY385" s="406"/>
      <c r="DZ385" s="406"/>
    </row>
    <row r="386" spans="1:130" s="491" customFormat="1" hidden="1" outlineLevel="2">
      <c r="A386" s="438"/>
      <c r="B386" s="438" t="s">
        <v>298</v>
      </c>
      <c r="C386" s="438" t="s">
        <v>578</v>
      </c>
      <c r="D386" s="408" t="s">
        <v>391</v>
      </c>
      <c r="E386" s="385"/>
      <c r="F386" s="385"/>
      <c r="G386" s="385"/>
      <c r="H386" s="401"/>
      <c r="I386" s="385" t="s">
        <v>193</v>
      </c>
      <c r="J386" s="489"/>
      <c r="K386" s="412"/>
      <c r="L386" s="412"/>
      <c r="M386" s="490" t="s">
        <v>308</v>
      </c>
      <c r="N386" s="490">
        <v>0.03</v>
      </c>
    </row>
    <row r="387" spans="1:130" s="491" customFormat="1" hidden="1" outlineLevel="2">
      <c r="A387" s="438"/>
      <c r="B387" s="438" t="s">
        <v>298</v>
      </c>
      <c r="C387" s="438" t="s">
        <v>578</v>
      </c>
      <c r="D387" s="408" t="s">
        <v>391</v>
      </c>
      <c r="E387" s="385"/>
      <c r="F387" s="385"/>
      <c r="G387" s="430"/>
      <c r="H387" s="401"/>
      <c r="I387" s="385" t="s">
        <v>903</v>
      </c>
      <c r="J387" s="489"/>
      <c r="K387" s="412"/>
      <c r="L387" s="412"/>
      <c r="M387" s="490" t="s">
        <v>37</v>
      </c>
      <c r="N387" s="424">
        <v>2</v>
      </c>
    </row>
    <row r="388" spans="1:130" s="407" customFormat="1" ht="40.5" outlineLevel="1" collapsed="1">
      <c r="A388" s="489" t="s">
        <v>1301</v>
      </c>
      <c r="B388" s="490" t="s">
        <v>298</v>
      </c>
      <c r="C388" s="398" t="s">
        <v>408</v>
      </c>
      <c r="D388" s="399" t="s">
        <v>391</v>
      </c>
      <c r="E388" s="490" t="s">
        <v>1499</v>
      </c>
      <c r="F388" s="385" t="s">
        <v>303</v>
      </c>
      <c r="G388" s="385"/>
      <c r="H388" s="401" t="s">
        <v>1237</v>
      </c>
      <c r="I388" s="385" t="str">
        <f>CONCATENATE(I389," ",N389,M389," ",I390," ",N390,M390," ",I391,N391," ",M391," ",,)</f>
        <v xml:space="preserve">Монтаж кабеля 0,05км монтаж муфт 4шт. демонтаж провода (по трассе)0,024 км </v>
      </c>
      <c r="J388" s="385" t="s">
        <v>365</v>
      </c>
      <c r="K388" s="450">
        <v>44378</v>
      </c>
      <c r="L388" s="450">
        <v>44408</v>
      </c>
      <c r="M388" s="490"/>
      <c r="N388" s="490"/>
      <c r="O388" s="406"/>
      <c r="P388" s="406"/>
      <c r="Q388" s="406"/>
      <c r="R388" s="406"/>
      <c r="S388" s="406"/>
      <c r="T388" s="406"/>
      <c r="U388" s="406"/>
      <c r="V388" s="406"/>
      <c r="W388" s="406"/>
      <c r="X388" s="406"/>
      <c r="Y388" s="406"/>
      <c r="Z388" s="406"/>
      <c r="AA388" s="406"/>
      <c r="AB388" s="406"/>
      <c r="AC388" s="406"/>
      <c r="AD388" s="406"/>
      <c r="AE388" s="406"/>
      <c r="AF388" s="406"/>
      <c r="AG388" s="406"/>
      <c r="AH388" s="406"/>
      <c r="AI388" s="406"/>
      <c r="AJ388" s="406"/>
      <c r="AK388" s="406"/>
      <c r="AL388" s="406"/>
      <c r="AM388" s="406"/>
      <c r="AN388" s="406"/>
      <c r="AO388" s="406"/>
      <c r="AP388" s="406"/>
      <c r="AQ388" s="406"/>
      <c r="AR388" s="406"/>
      <c r="AS388" s="406"/>
      <c r="AT388" s="406"/>
      <c r="AU388" s="406"/>
      <c r="AV388" s="406"/>
      <c r="AW388" s="406"/>
      <c r="AX388" s="406"/>
      <c r="AY388" s="406"/>
      <c r="AZ388" s="406"/>
      <c r="BA388" s="406"/>
      <c r="BB388" s="406"/>
      <c r="BC388" s="406"/>
      <c r="BD388" s="406"/>
      <c r="BE388" s="406"/>
      <c r="BF388" s="406"/>
      <c r="BG388" s="406"/>
      <c r="BH388" s="406"/>
      <c r="BI388" s="406"/>
      <c r="BJ388" s="406"/>
      <c r="BK388" s="406"/>
      <c r="BL388" s="406"/>
      <c r="BM388" s="406"/>
      <c r="BN388" s="406"/>
      <c r="BO388" s="406"/>
      <c r="BP388" s="406"/>
      <c r="BQ388" s="406"/>
      <c r="BR388" s="406"/>
      <c r="BS388" s="406"/>
      <c r="BT388" s="406"/>
      <c r="BU388" s="406"/>
      <c r="BV388" s="406"/>
      <c r="BW388" s="406"/>
      <c r="BX388" s="406"/>
      <c r="BY388" s="406"/>
      <c r="BZ388" s="406"/>
      <c r="CA388" s="406"/>
      <c r="CB388" s="406"/>
      <c r="CC388" s="406"/>
      <c r="CD388" s="406"/>
      <c r="CE388" s="406"/>
      <c r="CF388" s="406"/>
      <c r="CG388" s="406"/>
      <c r="CH388" s="406"/>
      <c r="CI388" s="406"/>
      <c r="CJ388" s="406"/>
      <c r="CK388" s="406"/>
      <c r="CL388" s="406"/>
      <c r="CM388" s="406"/>
      <c r="CN388" s="406"/>
      <c r="CO388" s="406"/>
      <c r="CP388" s="406"/>
      <c r="CQ388" s="406"/>
      <c r="CR388" s="406"/>
      <c r="CS388" s="406"/>
      <c r="CT388" s="406"/>
      <c r="CU388" s="406"/>
      <c r="CV388" s="406"/>
      <c r="CW388" s="406"/>
      <c r="CX388" s="406"/>
      <c r="CY388" s="406"/>
      <c r="CZ388" s="406"/>
      <c r="DA388" s="406"/>
      <c r="DB388" s="406"/>
      <c r="DC388" s="406"/>
      <c r="DD388" s="406"/>
      <c r="DE388" s="406"/>
      <c r="DF388" s="406"/>
      <c r="DG388" s="406"/>
      <c r="DH388" s="406"/>
      <c r="DI388" s="406"/>
      <c r="DJ388" s="406"/>
      <c r="DK388" s="406"/>
      <c r="DL388" s="406"/>
      <c r="DM388" s="406"/>
      <c r="DN388" s="406"/>
      <c r="DO388" s="406"/>
      <c r="DP388" s="406"/>
      <c r="DQ388" s="406"/>
      <c r="DR388" s="406"/>
      <c r="DS388" s="406"/>
      <c r="DT388" s="406"/>
      <c r="DU388" s="406"/>
      <c r="DV388" s="406"/>
      <c r="DW388" s="406"/>
      <c r="DX388" s="406"/>
      <c r="DY388" s="406"/>
      <c r="DZ388" s="406"/>
    </row>
    <row r="389" spans="1:130" s="491" customFormat="1" hidden="1" outlineLevel="2">
      <c r="A389" s="438"/>
      <c r="B389" s="438" t="s">
        <v>298</v>
      </c>
      <c r="C389" s="438" t="s">
        <v>408</v>
      </c>
      <c r="D389" s="408" t="s">
        <v>391</v>
      </c>
      <c r="E389" s="385"/>
      <c r="F389" s="385"/>
      <c r="G389" s="385"/>
      <c r="H389" s="401"/>
      <c r="I389" s="385" t="s">
        <v>193</v>
      </c>
      <c r="J389" s="489"/>
      <c r="K389" s="412"/>
      <c r="L389" s="412"/>
      <c r="M389" s="490" t="s">
        <v>308</v>
      </c>
      <c r="N389" s="490">
        <v>0.05</v>
      </c>
    </row>
    <row r="390" spans="1:130" s="491" customFormat="1" hidden="1" outlineLevel="2">
      <c r="A390" s="438"/>
      <c r="B390" s="438" t="s">
        <v>298</v>
      </c>
      <c r="C390" s="438" t="s">
        <v>408</v>
      </c>
      <c r="D390" s="408" t="s">
        <v>391</v>
      </c>
      <c r="E390" s="385"/>
      <c r="F390" s="385"/>
      <c r="G390" s="430"/>
      <c r="H390" s="401"/>
      <c r="I390" s="385" t="s">
        <v>903</v>
      </c>
      <c r="J390" s="489"/>
      <c r="K390" s="412"/>
      <c r="L390" s="412"/>
      <c r="M390" s="490" t="s">
        <v>37</v>
      </c>
      <c r="N390" s="424">
        <v>4</v>
      </c>
    </row>
    <row r="391" spans="1:130" s="491" customFormat="1" hidden="1" outlineLevel="2">
      <c r="A391" s="438"/>
      <c r="B391" s="438"/>
      <c r="C391" s="438"/>
      <c r="D391" s="408"/>
      <c r="E391" s="385"/>
      <c r="F391" s="385"/>
      <c r="G391" s="430"/>
      <c r="H391" s="401"/>
      <c r="I391" s="385" t="s">
        <v>912</v>
      </c>
      <c r="J391" s="489"/>
      <c r="K391" s="412"/>
      <c r="L391" s="412"/>
      <c r="M391" s="490" t="s">
        <v>308</v>
      </c>
      <c r="N391" s="424">
        <v>2.4E-2</v>
      </c>
    </row>
    <row r="392" spans="1:130" s="407" customFormat="1" ht="40.5" outlineLevel="1" collapsed="1">
      <c r="A392" s="489" t="s">
        <v>1302</v>
      </c>
      <c r="B392" s="490" t="s">
        <v>298</v>
      </c>
      <c r="C392" s="398" t="s">
        <v>408</v>
      </c>
      <c r="D392" s="399" t="s">
        <v>391</v>
      </c>
      <c r="E392" s="490" t="s">
        <v>415</v>
      </c>
      <c r="F392" s="385" t="s">
        <v>303</v>
      </c>
      <c r="G392" s="385"/>
      <c r="H392" s="401" t="s">
        <v>1238</v>
      </c>
      <c r="I392" s="385" t="str">
        <f>CONCATENATE(I393," ",N393,M393," ",I394," ",N394,M394," ",I395,N395," ",M395," ",,)</f>
        <v xml:space="preserve">установка ОПН 6шт.     </v>
      </c>
      <c r="J392" s="385" t="s">
        <v>365</v>
      </c>
      <c r="K392" s="450">
        <v>44348</v>
      </c>
      <c r="L392" s="450">
        <v>44377</v>
      </c>
      <c r="M392" s="490"/>
      <c r="N392" s="490"/>
      <c r="O392" s="406"/>
      <c r="P392" s="406"/>
      <c r="Q392" s="406"/>
      <c r="R392" s="406"/>
      <c r="S392" s="406"/>
      <c r="T392" s="406"/>
      <c r="U392" s="406"/>
      <c r="V392" s="406"/>
      <c r="W392" s="406"/>
      <c r="X392" s="406"/>
      <c r="Y392" s="406"/>
      <c r="Z392" s="406"/>
      <c r="AA392" s="406"/>
      <c r="AB392" s="406"/>
      <c r="AC392" s="406"/>
      <c r="AD392" s="406"/>
      <c r="AE392" s="406"/>
      <c r="AF392" s="406"/>
      <c r="AG392" s="406"/>
      <c r="AH392" s="406"/>
      <c r="AI392" s="406"/>
      <c r="AJ392" s="406"/>
      <c r="AK392" s="406"/>
      <c r="AL392" s="406"/>
      <c r="AM392" s="406"/>
      <c r="AN392" s="406"/>
      <c r="AO392" s="406"/>
      <c r="AP392" s="406"/>
      <c r="AQ392" s="406"/>
      <c r="AR392" s="406"/>
      <c r="AS392" s="406"/>
      <c r="AT392" s="406"/>
      <c r="AU392" s="406"/>
      <c r="AV392" s="406"/>
      <c r="AW392" s="406"/>
      <c r="AX392" s="406"/>
      <c r="AY392" s="406"/>
      <c r="AZ392" s="406"/>
      <c r="BA392" s="406"/>
      <c r="BB392" s="406"/>
      <c r="BC392" s="406"/>
      <c r="BD392" s="406"/>
      <c r="BE392" s="406"/>
      <c r="BF392" s="406"/>
      <c r="BG392" s="406"/>
      <c r="BH392" s="406"/>
      <c r="BI392" s="406"/>
      <c r="BJ392" s="406"/>
      <c r="BK392" s="406"/>
      <c r="BL392" s="406"/>
      <c r="BM392" s="406"/>
      <c r="BN392" s="406"/>
      <c r="BO392" s="406"/>
      <c r="BP392" s="406"/>
      <c r="BQ392" s="406"/>
      <c r="BR392" s="406"/>
      <c r="BS392" s="406"/>
      <c r="BT392" s="406"/>
      <c r="BU392" s="406"/>
      <c r="BV392" s="406"/>
      <c r="BW392" s="406"/>
      <c r="BX392" s="406"/>
      <c r="BY392" s="406"/>
      <c r="BZ392" s="406"/>
      <c r="CA392" s="406"/>
      <c r="CB392" s="406"/>
      <c r="CC392" s="406"/>
      <c r="CD392" s="406"/>
      <c r="CE392" s="406"/>
      <c r="CF392" s="406"/>
      <c r="CG392" s="406"/>
      <c r="CH392" s="406"/>
      <c r="CI392" s="406"/>
      <c r="CJ392" s="406"/>
      <c r="CK392" s="406"/>
      <c r="CL392" s="406"/>
      <c r="CM392" s="406"/>
      <c r="CN392" s="406"/>
      <c r="CO392" s="406"/>
      <c r="CP392" s="406"/>
      <c r="CQ392" s="406"/>
      <c r="CR392" s="406"/>
      <c r="CS392" s="406"/>
      <c r="CT392" s="406"/>
      <c r="CU392" s="406"/>
      <c r="CV392" s="406"/>
      <c r="CW392" s="406"/>
      <c r="CX392" s="406"/>
      <c r="CY392" s="406"/>
      <c r="CZ392" s="406"/>
      <c r="DA392" s="406"/>
      <c r="DB392" s="406"/>
      <c r="DC392" s="406"/>
      <c r="DD392" s="406"/>
      <c r="DE392" s="406"/>
      <c r="DF392" s="406"/>
      <c r="DG392" s="406"/>
      <c r="DH392" s="406"/>
      <c r="DI392" s="406"/>
      <c r="DJ392" s="406"/>
      <c r="DK392" s="406"/>
      <c r="DL392" s="406"/>
      <c r="DM392" s="406"/>
      <c r="DN392" s="406"/>
      <c r="DO392" s="406"/>
      <c r="DP392" s="406"/>
      <c r="DQ392" s="406"/>
      <c r="DR392" s="406"/>
      <c r="DS392" s="406"/>
      <c r="DT392" s="406"/>
      <c r="DU392" s="406"/>
      <c r="DV392" s="406"/>
      <c r="DW392" s="406"/>
      <c r="DX392" s="406"/>
      <c r="DY392" s="406"/>
      <c r="DZ392" s="406"/>
    </row>
    <row r="393" spans="1:130" s="491" customFormat="1" hidden="1" outlineLevel="2">
      <c r="A393" s="438"/>
      <c r="B393" s="438" t="s">
        <v>298</v>
      </c>
      <c r="C393" s="438" t="s">
        <v>408</v>
      </c>
      <c r="D393" s="408" t="s">
        <v>391</v>
      </c>
      <c r="E393" s="385"/>
      <c r="F393" s="385"/>
      <c r="G393" s="385"/>
      <c r="H393" s="401"/>
      <c r="I393" s="385" t="s">
        <v>1180</v>
      </c>
      <c r="J393" s="489"/>
      <c r="K393" s="412"/>
      <c r="L393" s="412"/>
      <c r="M393" s="490" t="s">
        <v>37</v>
      </c>
      <c r="N393" s="490">
        <v>6</v>
      </c>
    </row>
    <row r="394" spans="1:130" s="491" customFormat="1" hidden="1" outlineLevel="2">
      <c r="A394" s="438"/>
      <c r="B394" s="438" t="s">
        <v>298</v>
      </c>
      <c r="C394" s="438" t="s">
        <v>408</v>
      </c>
      <c r="D394" s="408" t="s">
        <v>391</v>
      </c>
      <c r="E394" s="385"/>
      <c r="F394" s="385"/>
      <c r="G394" s="430"/>
      <c r="H394" s="401"/>
      <c r="I394" s="385"/>
      <c r="J394" s="489"/>
      <c r="K394" s="412"/>
      <c r="L394" s="412"/>
      <c r="M394" s="490"/>
      <c r="N394" s="424"/>
    </row>
    <row r="395" spans="1:130" s="491" customFormat="1" hidden="1" outlineLevel="2">
      <c r="A395" s="438"/>
      <c r="B395" s="438"/>
      <c r="C395" s="438"/>
      <c r="D395" s="408"/>
      <c r="E395" s="385"/>
      <c r="F395" s="385"/>
      <c r="G395" s="430"/>
      <c r="H395" s="401"/>
      <c r="I395" s="385"/>
      <c r="J395" s="489"/>
      <c r="K395" s="412"/>
      <c r="L395" s="412"/>
      <c r="M395" s="490"/>
      <c r="N395" s="424"/>
    </row>
    <row r="396" spans="1:130" s="407" customFormat="1" ht="40.5" outlineLevel="1" collapsed="1">
      <c r="A396" s="489" t="s">
        <v>1303</v>
      </c>
      <c r="B396" s="490" t="s">
        <v>298</v>
      </c>
      <c r="C396" s="398" t="s">
        <v>408</v>
      </c>
      <c r="D396" s="399" t="s">
        <v>391</v>
      </c>
      <c r="E396" s="490" t="s">
        <v>418</v>
      </c>
      <c r="F396" s="385" t="s">
        <v>303</v>
      </c>
      <c r="G396" s="385"/>
      <c r="H396" s="401" t="s">
        <v>1239</v>
      </c>
      <c r="I396" s="385" t="str">
        <f>CONCATENATE(I397," ",N397,M397," ",I398," ",N398,M398," ",I399,N399," ",M399," ",,)</f>
        <v xml:space="preserve">установка ОПН 3шт.     </v>
      </c>
      <c r="J396" s="385" t="s">
        <v>365</v>
      </c>
      <c r="K396" s="450">
        <v>44378</v>
      </c>
      <c r="L396" s="450">
        <v>44408</v>
      </c>
      <c r="M396" s="490"/>
      <c r="N396" s="490"/>
      <c r="O396" s="406"/>
      <c r="P396" s="406"/>
      <c r="Q396" s="406"/>
      <c r="R396" s="406"/>
      <c r="S396" s="406"/>
      <c r="T396" s="406"/>
      <c r="U396" s="406"/>
      <c r="V396" s="406"/>
      <c r="W396" s="406"/>
      <c r="X396" s="406"/>
      <c r="Y396" s="406"/>
      <c r="Z396" s="406"/>
      <c r="AA396" s="406"/>
      <c r="AB396" s="406"/>
      <c r="AC396" s="406"/>
      <c r="AD396" s="406"/>
      <c r="AE396" s="406"/>
      <c r="AF396" s="406"/>
      <c r="AG396" s="406"/>
      <c r="AH396" s="406"/>
      <c r="AI396" s="406"/>
      <c r="AJ396" s="406"/>
      <c r="AK396" s="406"/>
      <c r="AL396" s="406"/>
      <c r="AM396" s="406"/>
      <c r="AN396" s="406"/>
      <c r="AO396" s="406"/>
      <c r="AP396" s="406"/>
      <c r="AQ396" s="406"/>
      <c r="AR396" s="406"/>
      <c r="AS396" s="406"/>
      <c r="AT396" s="406"/>
      <c r="AU396" s="406"/>
      <c r="AV396" s="406"/>
      <c r="AW396" s="406"/>
      <c r="AX396" s="406"/>
      <c r="AY396" s="406"/>
      <c r="AZ396" s="406"/>
      <c r="BA396" s="406"/>
      <c r="BB396" s="406"/>
      <c r="BC396" s="406"/>
      <c r="BD396" s="406"/>
      <c r="BE396" s="406"/>
      <c r="BF396" s="406"/>
      <c r="BG396" s="406"/>
      <c r="BH396" s="406"/>
      <c r="BI396" s="406"/>
      <c r="BJ396" s="406"/>
      <c r="BK396" s="406"/>
      <c r="BL396" s="406"/>
      <c r="BM396" s="406"/>
      <c r="BN396" s="406"/>
      <c r="BO396" s="406"/>
      <c r="BP396" s="406"/>
      <c r="BQ396" s="406"/>
      <c r="BR396" s="406"/>
      <c r="BS396" s="406"/>
      <c r="BT396" s="406"/>
      <c r="BU396" s="406"/>
      <c r="BV396" s="406"/>
      <c r="BW396" s="406"/>
      <c r="BX396" s="406"/>
      <c r="BY396" s="406"/>
      <c r="BZ396" s="406"/>
      <c r="CA396" s="406"/>
      <c r="CB396" s="406"/>
      <c r="CC396" s="406"/>
      <c r="CD396" s="406"/>
      <c r="CE396" s="406"/>
      <c r="CF396" s="406"/>
      <c r="CG396" s="406"/>
      <c r="CH396" s="406"/>
      <c r="CI396" s="406"/>
      <c r="CJ396" s="406"/>
      <c r="CK396" s="406"/>
      <c r="CL396" s="406"/>
      <c r="CM396" s="406"/>
      <c r="CN396" s="406"/>
      <c r="CO396" s="406"/>
      <c r="CP396" s="406"/>
      <c r="CQ396" s="406"/>
      <c r="CR396" s="406"/>
      <c r="CS396" s="406"/>
      <c r="CT396" s="406"/>
      <c r="CU396" s="406"/>
      <c r="CV396" s="406"/>
      <c r="CW396" s="406"/>
      <c r="CX396" s="406"/>
      <c r="CY396" s="406"/>
      <c r="CZ396" s="406"/>
      <c r="DA396" s="406"/>
      <c r="DB396" s="406"/>
      <c r="DC396" s="406"/>
      <c r="DD396" s="406"/>
      <c r="DE396" s="406"/>
      <c r="DF396" s="406"/>
      <c r="DG396" s="406"/>
      <c r="DH396" s="406"/>
      <c r="DI396" s="406"/>
      <c r="DJ396" s="406"/>
      <c r="DK396" s="406"/>
      <c r="DL396" s="406"/>
      <c r="DM396" s="406"/>
      <c r="DN396" s="406"/>
      <c r="DO396" s="406"/>
      <c r="DP396" s="406"/>
      <c r="DQ396" s="406"/>
      <c r="DR396" s="406"/>
      <c r="DS396" s="406"/>
      <c r="DT396" s="406"/>
      <c r="DU396" s="406"/>
      <c r="DV396" s="406"/>
      <c r="DW396" s="406"/>
      <c r="DX396" s="406"/>
      <c r="DY396" s="406"/>
      <c r="DZ396" s="406"/>
    </row>
    <row r="397" spans="1:130" s="491" customFormat="1" hidden="1" outlineLevel="2">
      <c r="A397" s="438"/>
      <c r="B397" s="438" t="s">
        <v>298</v>
      </c>
      <c r="C397" s="438" t="s">
        <v>408</v>
      </c>
      <c r="D397" s="408" t="s">
        <v>391</v>
      </c>
      <c r="E397" s="385"/>
      <c r="F397" s="385"/>
      <c r="G397" s="385"/>
      <c r="H397" s="401"/>
      <c r="I397" s="385" t="s">
        <v>1180</v>
      </c>
      <c r="J397" s="489"/>
      <c r="K397" s="412"/>
      <c r="L397" s="412"/>
      <c r="M397" s="490" t="s">
        <v>37</v>
      </c>
      <c r="N397" s="490">
        <v>3</v>
      </c>
    </row>
    <row r="398" spans="1:130" s="491" customFormat="1" hidden="1" outlineLevel="2">
      <c r="A398" s="438"/>
      <c r="B398" s="438" t="s">
        <v>298</v>
      </c>
      <c r="C398" s="438" t="s">
        <v>408</v>
      </c>
      <c r="D398" s="408" t="s">
        <v>391</v>
      </c>
      <c r="E398" s="385"/>
      <c r="F398" s="385"/>
      <c r="G398" s="430"/>
      <c r="H398" s="401"/>
      <c r="I398" s="385"/>
      <c r="J398" s="489"/>
      <c r="K398" s="412"/>
      <c r="L398" s="412"/>
      <c r="M398" s="490"/>
      <c r="N398" s="424"/>
    </row>
    <row r="399" spans="1:130" s="491" customFormat="1" hidden="1" outlineLevel="2">
      <c r="A399" s="438"/>
      <c r="B399" s="438"/>
      <c r="C399" s="438"/>
      <c r="D399" s="408"/>
      <c r="E399" s="385"/>
      <c r="F399" s="385"/>
      <c r="G399" s="430"/>
      <c r="H399" s="401"/>
      <c r="I399" s="385"/>
      <c r="J399" s="489"/>
      <c r="K399" s="412"/>
      <c r="L399" s="412"/>
      <c r="M399" s="490"/>
      <c r="N399" s="424"/>
    </row>
    <row r="400" spans="1:130" s="406" customFormat="1" ht="81" outlineLevel="1" collapsed="1">
      <c r="A400" s="489" t="s">
        <v>1681</v>
      </c>
      <c r="B400" s="490" t="s">
        <v>54</v>
      </c>
      <c r="C400" s="398" t="s">
        <v>520</v>
      </c>
      <c r="D400" s="399" t="s">
        <v>391</v>
      </c>
      <c r="E400" s="490" t="s">
        <v>1501</v>
      </c>
      <c r="F400" s="385" t="s">
        <v>303</v>
      </c>
      <c r="G400" s="385"/>
      <c r="H400" s="401" t="s">
        <v>1810</v>
      </c>
      <c r="I400" s="385" t="str">
        <f>CONCATENATE(I401," ",N401,M401," ",I402," ",N402,M402," ",,)</f>
        <v xml:space="preserve">монтаж кабеля 0,47км Ремонт трансформаторов 110 кВ (1Т)-1 шт. Ремонт ОПН, разрядников 110 кВ  (ОПН-110 1Т)-3 шт. Ремонт ОПН, разрядников 35 кВ (ОПН-0 1Т)-1 шт. 3шт. </v>
      </c>
      <c r="J400" s="385" t="s">
        <v>365</v>
      </c>
      <c r="K400" s="450">
        <v>44348</v>
      </c>
      <c r="L400" s="450">
        <v>44439</v>
      </c>
      <c r="M400" s="490"/>
      <c r="N400" s="490"/>
    </row>
    <row r="401" spans="1:130" s="491" customFormat="1" hidden="1" outlineLevel="2">
      <c r="A401" s="575"/>
      <c r="B401" s="438" t="s">
        <v>54</v>
      </c>
      <c r="C401" s="438" t="s">
        <v>520</v>
      </c>
      <c r="D401" s="408" t="s">
        <v>391</v>
      </c>
      <c r="E401" s="385"/>
      <c r="F401" s="385"/>
      <c r="G401" s="385"/>
      <c r="H401" s="401"/>
      <c r="I401" s="385" t="s">
        <v>1013</v>
      </c>
      <c r="J401" s="489"/>
      <c r="K401" s="412"/>
      <c r="L401" s="412"/>
      <c r="M401" s="490" t="s">
        <v>308</v>
      </c>
      <c r="N401" s="490">
        <v>0.47</v>
      </c>
    </row>
    <row r="402" spans="1:130" s="491" customFormat="1" ht="60.75" hidden="1" outlineLevel="2">
      <c r="A402" s="577"/>
      <c r="B402" s="438" t="s">
        <v>54</v>
      </c>
      <c r="C402" s="438" t="s">
        <v>520</v>
      </c>
      <c r="D402" s="408" t="s">
        <v>391</v>
      </c>
      <c r="E402" s="385"/>
      <c r="F402" s="385"/>
      <c r="G402" s="430"/>
      <c r="H402" s="401"/>
      <c r="I402" s="385" t="s">
        <v>3721</v>
      </c>
      <c r="J402" s="489"/>
      <c r="K402" s="412"/>
      <c r="L402" s="412"/>
      <c r="M402" s="490" t="s">
        <v>37</v>
      </c>
      <c r="N402" s="424">
        <v>3</v>
      </c>
    </row>
    <row r="403" spans="1:130" s="406" customFormat="1" ht="40.5" outlineLevel="1" collapsed="1">
      <c r="A403" s="489" t="s">
        <v>1304</v>
      </c>
      <c r="B403" s="490" t="s">
        <v>54</v>
      </c>
      <c r="C403" s="398" t="s">
        <v>520</v>
      </c>
      <c r="D403" s="399" t="s">
        <v>391</v>
      </c>
      <c r="E403" s="490" t="s">
        <v>1014</v>
      </c>
      <c r="F403" s="385" t="s">
        <v>303</v>
      </c>
      <c r="G403" s="385"/>
      <c r="H403" s="401" t="s">
        <v>1817</v>
      </c>
      <c r="I403" s="385" t="str">
        <f>CONCATENATE(I404," ",N404,M404," ",I405," ",N405,M405," ",,)</f>
        <v xml:space="preserve">монтаж кабеля 0,26км монтаж муфт 2шт. </v>
      </c>
      <c r="J403" s="385" t="s">
        <v>365</v>
      </c>
      <c r="K403" s="450">
        <v>44378</v>
      </c>
      <c r="L403" s="450">
        <v>44439</v>
      </c>
      <c r="M403" s="490"/>
      <c r="N403" s="490"/>
    </row>
    <row r="404" spans="1:130" s="491" customFormat="1" hidden="1" outlineLevel="2">
      <c r="A404" s="575"/>
      <c r="B404" s="438" t="s">
        <v>54</v>
      </c>
      <c r="C404" s="438" t="s">
        <v>520</v>
      </c>
      <c r="D404" s="408" t="s">
        <v>391</v>
      </c>
      <c r="E404" s="385"/>
      <c r="F404" s="385"/>
      <c r="G404" s="385"/>
      <c r="H404" s="401"/>
      <c r="I404" s="385" t="s">
        <v>1013</v>
      </c>
      <c r="J404" s="489"/>
      <c r="K404" s="412"/>
      <c r="L404" s="412"/>
      <c r="M404" s="490" t="s">
        <v>308</v>
      </c>
      <c r="N404" s="490">
        <v>0.26</v>
      </c>
    </row>
    <row r="405" spans="1:130" s="491" customFormat="1" hidden="1" outlineLevel="2">
      <c r="A405" s="577"/>
      <c r="B405" s="438" t="s">
        <v>54</v>
      </c>
      <c r="C405" s="438" t="s">
        <v>520</v>
      </c>
      <c r="D405" s="408" t="s">
        <v>391</v>
      </c>
      <c r="E405" s="385"/>
      <c r="F405" s="385"/>
      <c r="G405" s="430"/>
      <c r="H405" s="401"/>
      <c r="I405" s="385" t="s">
        <v>903</v>
      </c>
      <c r="J405" s="489"/>
      <c r="K405" s="412"/>
      <c r="L405" s="412"/>
      <c r="M405" s="490" t="s">
        <v>37</v>
      </c>
      <c r="N405" s="424">
        <v>2</v>
      </c>
    </row>
    <row r="406" spans="1:130" s="410" customFormat="1">
      <c r="A406" s="403" t="s">
        <v>328</v>
      </c>
      <c r="B406" s="403"/>
      <c r="C406" s="403"/>
      <c r="D406" s="403"/>
      <c r="E406" s="490"/>
      <c r="F406" s="385"/>
      <c r="G406" s="385"/>
      <c r="H406" s="539" t="s">
        <v>322</v>
      </c>
      <c r="I406" s="385"/>
      <c r="J406" s="489"/>
      <c r="K406" s="412"/>
      <c r="L406" s="412"/>
      <c r="M406" s="490"/>
      <c r="N406" s="490"/>
      <c r="O406" s="491"/>
      <c r="P406" s="491"/>
      <c r="Q406" s="491"/>
      <c r="R406" s="491"/>
      <c r="S406" s="491"/>
      <c r="T406" s="491"/>
      <c r="U406" s="491"/>
      <c r="V406" s="491"/>
      <c r="W406" s="491"/>
      <c r="X406" s="491"/>
      <c r="Y406" s="491"/>
      <c r="Z406" s="491"/>
      <c r="AA406" s="491"/>
      <c r="AB406" s="491"/>
      <c r="AC406" s="491"/>
      <c r="AD406" s="491"/>
      <c r="AE406" s="491"/>
      <c r="AF406" s="491"/>
      <c r="AG406" s="491"/>
      <c r="AH406" s="491"/>
      <c r="AI406" s="491"/>
      <c r="AJ406" s="491"/>
      <c r="AK406" s="491"/>
      <c r="AL406" s="491"/>
      <c r="AM406" s="491"/>
      <c r="AN406" s="491"/>
      <c r="AO406" s="491"/>
      <c r="AP406" s="491"/>
      <c r="AQ406" s="491"/>
      <c r="AR406" s="491"/>
      <c r="AS406" s="491"/>
      <c r="AT406" s="491"/>
      <c r="AU406" s="491"/>
      <c r="AV406" s="491"/>
      <c r="AW406" s="491"/>
      <c r="AX406" s="491"/>
      <c r="AY406" s="491"/>
      <c r="AZ406" s="491"/>
      <c r="BA406" s="491"/>
      <c r="BB406" s="491"/>
      <c r="BC406" s="491"/>
      <c r="BD406" s="491"/>
      <c r="BE406" s="491"/>
      <c r="BF406" s="491"/>
      <c r="BG406" s="491"/>
      <c r="BH406" s="491"/>
      <c r="BI406" s="491"/>
      <c r="BJ406" s="491"/>
      <c r="BK406" s="491"/>
      <c r="BL406" s="491"/>
      <c r="BM406" s="491"/>
      <c r="BN406" s="491"/>
      <c r="BO406" s="491"/>
      <c r="BP406" s="491"/>
      <c r="BQ406" s="491"/>
      <c r="BR406" s="491"/>
      <c r="BS406" s="491"/>
      <c r="BT406" s="491"/>
      <c r="BU406" s="491"/>
      <c r="BV406" s="491"/>
      <c r="BW406" s="491"/>
      <c r="BX406" s="491"/>
      <c r="BY406" s="491"/>
      <c r="BZ406" s="491"/>
      <c r="CA406" s="491"/>
      <c r="CB406" s="491"/>
      <c r="CC406" s="491"/>
      <c r="CD406" s="491"/>
      <c r="CE406" s="491"/>
      <c r="CF406" s="491"/>
      <c r="CG406" s="491"/>
      <c r="CH406" s="491"/>
      <c r="CI406" s="491"/>
      <c r="CJ406" s="491"/>
      <c r="CK406" s="491"/>
      <c r="CL406" s="491"/>
      <c r="CM406" s="491"/>
      <c r="CN406" s="491"/>
      <c r="CO406" s="491"/>
      <c r="CP406" s="491"/>
      <c r="CQ406" s="491"/>
      <c r="CR406" s="491"/>
      <c r="CS406" s="491"/>
      <c r="CT406" s="491"/>
      <c r="CU406" s="491"/>
      <c r="CV406" s="491"/>
      <c r="CW406" s="491"/>
      <c r="CX406" s="491"/>
      <c r="CY406" s="491"/>
      <c r="CZ406" s="491"/>
      <c r="DA406" s="491"/>
      <c r="DB406" s="491"/>
      <c r="DC406" s="491"/>
      <c r="DD406" s="491"/>
      <c r="DE406" s="491"/>
      <c r="DF406" s="491"/>
      <c r="DG406" s="491"/>
      <c r="DH406" s="491"/>
      <c r="DI406" s="491"/>
      <c r="DJ406" s="491"/>
      <c r="DK406" s="491"/>
      <c r="DL406" s="491"/>
      <c r="DM406" s="491"/>
      <c r="DN406" s="491"/>
      <c r="DO406" s="491"/>
      <c r="DP406" s="491"/>
      <c r="DQ406" s="491"/>
      <c r="DR406" s="491"/>
      <c r="DS406" s="491"/>
      <c r="DT406" s="491"/>
      <c r="DU406" s="491"/>
      <c r="DV406" s="491"/>
      <c r="DW406" s="491"/>
      <c r="DX406" s="491"/>
      <c r="DY406" s="491"/>
      <c r="DZ406" s="491"/>
    </row>
    <row r="407" spans="1:130" s="411" customFormat="1" ht="40.5" outlineLevel="1" collapsed="1">
      <c r="A407" s="412" t="s">
        <v>1305</v>
      </c>
      <c r="B407" s="490" t="s">
        <v>301</v>
      </c>
      <c r="C407" s="398" t="s">
        <v>906</v>
      </c>
      <c r="D407" s="399" t="s">
        <v>391</v>
      </c>
      <c r="E407" s="490" t="s">
        <v>1503</v>
      </c>
      <c r="F407" s="385" t="s">
        <v>303</v>
      </c>
      <c r="G407" s="385"/>
      <c r="H407" s="401" t="s">
        <v>1240</v>
      </c>
      <c r="I407" s="385" t="str">
        <f>CONCATENATE(I408," ",N408,M408," ",I409," ",N409,M409)</f>
        <v>замена опор  14шт. Обрезка крон деревьев 12шт.</v>
      </c>
      <c r="J407" s="385" t="s">
        <v>365</v>
      </c>
      <c r="K407" s="450">
        <v>44409</v>
      </c>
      <c r="L407" s="450">
        <v>44439</v>
      </c>
      <c r="M407" s="490"/>
      <c r="N407" s="490"/>
      <c r="O407" s="384"/>
      <c r="P407" s="384"/>
      <c r="Q407" s="384"/>
      <c r="R407" s="384"/>
      <c r="S407" s="384"/>
      <c r="T407" s="384"/>
      <c r="U407" s="384"/>
      <c r="V407" s="384"/>
      <c r="W407" s="384"/>
      <c r="X407" s="384"/>
      <c r="Y407" s="384"/>
      <c r="Z407" s="384"/>
      <c r="AA407" s="384"/>
      <c r="AB407" s="384"/>
      <c r="AC407" s="384"/>
      <c r="AD407" s="384"/>
      <c r="AE407" s="384"/>
      <c r="AF407" s="384"/>
      <c r="AG407" s="384"/>
      <c r="AH407" s="384"/>
      <c r="AI407" s="384"/>
      <c r="AJ407" s="384"/>
      <c r="AK407" s="384"/>
      <c r="AL407" s="384"/>
      <c r="AM407" s="384"/>
      <c r="AN407" s="384"/>
      <c r="AO407" s="384"/>
      <c r="AP407" s="384"/>
      <c r="AQ407" s="384"/>
      <c r="AR407" s="384"/>
      <c r="AS407" s="384"/>
      <c r="AT407" s="384"/>
      <c r="AU407" s="384"/>
      <c r="AV407" s="384"/>
      <c r="AW407" s="384"/>
      <c r="AX407" s="384"/>
      <c r="AY407" s="384"/>
      <c r="AZ407" s="384"/>
      <c r="BA407" s="384"/>
      <c r="BB407" s="384"/>
      <c r="BC407" s="384"/>
      <c r="BD407" s="384"/>
      <c r="BE407" s="384"/>
      <c r="BF407" s="384"/>
      <c r="BG407" s="384"/>
      <c r="BH407" s="384"/>
      <c r="BI407" s="384"/>
      <c r="BJ407" s="384"/>
      <c r="BK407" s="384"/>
      <c r="BL407" s="384"/>
      <c r="BM407" s="384"/>
      <c r="BN407" s="384"/>
      <c r="BO407" s="384"/>
      <c r="BP407" s="384"/>
      <c r="BQ407" s="384"/>
      <c r="BR407" s="384"/>
      <c r="BS407" s="384"/>
      <c r="BT407" s="384"/>
      <c r="BU407" s="384"/>
      <c r="BV407" s="384"/>
      <c r="BW407" s="384"/>
      <c r="BX407" s="384"/>
      <c r="BY407" s="384"/>
      <c r="BZ407" s="384"/>
      <c r="CA407" s="384"/>
      <c r="CB407" s="384"/>
      <c r="CC407" s="384"/>
      <c r="CD407" s="384"/>
      <c r="CE407" s="384"/>
      <c r="CF407" s="384"/>
      <c r="CG407" s="384"/>
      <c r="CH407" s="384"/>
      <c r="CI407" s="384"/>
      <c r="CJ407" s="384"/>
      <c r="CK407" s="384"/>
      <c r="CL407" s="384"/>
      <c r="CM407" s="384"/>
      <c r="CN407" s="384"/>
      <c r="CO407" s="384"/>
      <c r="CP407" s="384"/>
      <c r="CQ407" s="384"/>
      <c r="CR407" s="384"/>
      <c r="CS407" s="384"/>
      <c r="CT407" s="384"/>
      <c r="CU407" s="384"/>
      <c r="CV407" s="384"/>
      <c r="CW407" s="384"/>
      <c r="CX407" s="384"/>
      <c r="CY407" s="384"/>
      <c r="CZ407" s="384"/>
      <c r="DA407" s="384"/>
      <c r="DB407" s="384"/>
      <c r="DC407" s="384"/>
      <c r="DD407" s="384"/>
      <c r="DE407" s="384"/>
      <c r="DF407" s="384"/>
      <c r="DG407" s="384"/>
      <c r="DH407" s="384"/>
      <c r="DI407" s="384"/>
      <c r="DJ407" s="384"/>
      <c r="DK407" s="384"/>
      <c r="DL407" s="384"/>
      <c r="DM407" s="384"/>
      <c r="DN407" s="384"/>
      <c r="DO407" s="384"/>
      <c r="DP407" s="384"/>
      <c r="DQ407" s="384"/>
      <c r="DR407" s="384"/>
      <c r="DS407" s="384"/>
      <c r="DT407" s="384"/>
      <c r="DU407" s="384"/>
      <c r="DV407" s="384"/>
      <c r="DW407" s="384"/>
      <c r="DX407" s="384"/>
      <c r="DY407" s="384"/>
      <c r="DZ407" s="384"/>
    </row>
    <row r="408" spans="1:130" ht="59.25" hidden="1" customHeight="1" outlineLevel="2">
      <c r="A408" s="438"/>
      <c r="B408" s="438" t="str">
        <f t="shared" ref="B408:D409" si="6">B407</f>
        <v>0,4 кВ.</v>
      </c>
      <c r="C408" s="438" t="str">
        <f t="shared" si="6"/>
        <v>ВРЭС ГУ</v>
      </c>
      <c r="D408" s="408" t="str">
        <f t="shared" si="6"/>
        <v>ЦЭС</v>
      </c>
      <c r="E408" s="385"/>
      <c r="F408" s="400"/>
      <c r="G408" s="396"/>
      <c r="H408" s="401" t="s">
        <v>907</v>
      </c>
      <c r="I408" s="385" t="s">
        <v>908</v>
      </c>
      <c r="J408" s="489"/>
      <c r="K408" s="412"/>
      <c r="L408" s="412"/>
      <c r="M408" s="490" t="s">
        <v>37</v>
      </c>
      <c r="N408" s="490">
        <v>14</v>
      </c>
    </row>
    <row r="409" spans="1:130" hidden="1" outlineLevel="2">
      <c r="A409" s="438"/>
      <c r="B409" s="438" t="str">
        <f t="shared" si="6"/>
        <v>0,4 кВ.</v>
      </c>
      <c r="C409" s="438" t="str">
        <f t="shared" si="6"/>
        <v>ВРЭС ГУ</v>
      </c>
      <c r="D409" s="408" t="str">
        <f t="shared" si="6"/>
        <v>ЦЭС</v>
      </c>
      <c r="E409" s="385"/>
      <c r="F409" s="400"/>
      <c r="G409" s="396"/>
      <c r="H409" s="401"/>
      <c r="I409" s="385" t="s">
        <v>215</v>
      </c>
      <c r="J409" s="489"/>
      <c r="K409" s="412"/>
      <c r="L409" s="412"/>
      <c r="M409" s="490" t="s">
        <v>37</v>
      </c>
      <c r="N409" s="490">
        <v>12</v>
      </c>
    </row>
    <row r="410" spans="1:130" s="411" customFormat="1" ht="88.5" customHeight="1" outlineLevel="1" collapsed="1">
      <c r="A410" s="412" t="s">
        <v>1306</v>
      </c>
      <c r="B410" s="490" t="s">
        <v>301</v>
      </c>
      <c r="C410" s="398" t="s">
        <v>906</v>
      </c>
      <c r="D410" s="399" t="s">
        <v>391</v>
      </c>
      <c r="E410" s="490" t="s">
        <v>1503</v>
      </c>
      <c r="F410" s="385" t="s">
        <v>303</v>
      </c>
      <c r="G410" s="385"/>
      <c r="H410" s="401" t="s">
        <v>909</v>
      </c>
      <c r="I410" s="385" t="str">
        <f>CONCATENATE(I411," ",N411,M411," ",I412," ",N412,M412," ",I413," ",N413,M413," ",I414," ",N414,M414," ",I415,N415," ",M415,)</f>
        <v>замена опор  15шт демонтаж провода (по трассе) 0,68км монтаж провода (по трассе) 0,68км Замена ответвлений к зданиям 8отв. Обрезка крон деревьев14 шт</v>
      </c>
      <c r="J410" s="385" t="s">
        <v>365</v>
      </c>
      <c r="K410" s="450">
        <v>44378</v>
      </c>
      <c r="L410" s="450">
        <v>44408</v>
      </c>
      <c r="M410" s="490"/>
      <c r="N410" s="490"/>
      <c r="O410" s="384"/>
      <c r="P410" s="384"/>
      <c r="Q410" s="384"/>
      <c r="R410" s="384"/>
      <c r="S410" s="384"/>
      <c r="T410" s="384"/>
      <c r="U410" s="384"/>
      <c r="V410" s="384"/>
      <c r="W410" s="384"/>
      <c r="X410" s="384"/>
      <c r="Y410" s="384"/>
      <c r="Z410" s="384"/>
      <c r="AA410" s="384"/>
      <c r="AB410" s="384"/>
      <c r="AC410" s="384"/>
      <c r="AD410" s="384"/>
      <c r="AE410" s="384"/>
      <c r="AF410" s="384"/>
      <c r="AG410" s="384"/>
      <c r="AH410" s="384"/>
      <c r="AI410" s="384"/>
      <c r="AJ410" s="384"/>
      <c r="AK410" s="384"/>
      <c r="AL410" s="384"/>
      <c r="AM410" s="384"/>
      <c r="AN410" s="384"/>
      <c r="AO410" s="384"/>
      <c r="AP410" s="384"/>
      <c r="AQ410" s="384"/>
      <c r="AR410" s="384"/>
      <c r="AS410" s="384"/>
      <c r="AT410" s="384"/>
      <c r="AU410" s="384"/>
      <c r="AV410" s="384"/>
      <c r="AW410" s="384"/>
      <c r="AX410" s="384"/>
      <c r="AY410" s="384"/>
      <c r="AZ410" s="384"/>
      <c r="BA410" s="384"/>
      <c r="BB410" s="384"/>
      <c r="BC410" s="384"/>
      <c r="BD410" s="384"/>
      <c r="BE410" s="384"/>
      <c r="BF410" s="384"/>
      <c r="BG410" s="384"/>
      <c r="BH410" s="384"/>
      <c r="BI410" s="384"/>
      <c r="BJ410" s="384"/>
      <c r="BK410" s="384"/>
      <c r="BL410" s="384"/>
      <c r="BM410" s="384"/>
      <c r="BN410" s="384"/>
      <c r="BO410" s="384"/>
      <c r="BP410" s="384"/>
      <c r="BQ410" s="384"/>
      <c r="BR410" s="384"/>
      <c r="BS410" s="384"/>
      <c r="BT410" s="384"/>
      <c r="BU410" s="384"/>
      <c r="BV410" s="384"/>
      <c r="BW410" s="384"/>
      <c r="BX410" s="384"/>
      <c r="BY410" s="384"/>
      <c r="BZ410" s="384"/>
      <c r="CA410" s="384"/>
      <c r="CB410" s="384"/>
      <c r="CC410" s="384"/>
      <c r="CD410" s="384"/>
      <c r="CE410" s="384"/>
      <c r="CF410" s="384"/>
      <c r="CG410" s="384"/>
      <c r="CH410" s="384"/>
      <c r="CI410" s="384"/>
      <c r="CJ410" s="384"/>
      <c r="CK410" s="384"/>
      <c r="CL410" s="384"/>
      <c r="CM410" s="384"/>
      <c r="CN410" s="384"/>
      <c r="CO410" s="384"/>
      <c r="CP410" s="384"/>
      <c r="CQ410" s="384"/>
      <c r="CR410" s="384"/>
      <c r="CS410" s="384"/>
      <c r="CT410" s="384"/>
      <c r="CU410" s="384"/>
      <c r="CV410" s="384"/>
      <c r="CW410" s="384"/>
      <c r="CX410" s="384"/>
      <c r="CY410" s="384"/>
      <c r="CZ410" s="384"/>
      <c r="DA410" s="384"/>
      <c r="DB410" s="384"/>
      <c r="DC410" s="384"/>
      <c r="DD410" s="384"/>
      <c r="DE410" s="384"/>
      <c r="DF410" s="384"/>
      <c r="DG410" s="384"/>
      <c r="DH410" s="384"/>
      <c r="DI410" s="384"/>
      <c r="DJ410" s="384"/>
      <c r="DK410" s="384"/>
      <c r="DL410" s="384"/>
      <c r="DM410" s="384"/>
      <c r="DN410" s="384"/>
      <c r="DO410" s="384"/>
      <c r="DP410" s="384"/>
      <c r="DQ410" s="384"/>
      <c r="DR410" s="384"/>
      <c r="DS410" s="384"/>
      <c r="DT410" s="384"/>
      <c r="DU410" s="384"/>
      <c r="DV410" s="384"/>
      <c r="DW410" s="384"/>
      <c r="DX410" s="384"/>
      <c r="DY410" s="384"/>
      <c r="DZ410" s="384"/>
    </row>
    <row r="411" spans="1:130" ht="77.25" hidden="1" customHeight="1" outlineLevel="2">
      <c r="A411" s="412"/>
      <c r="B411" s="412"/>
      <c r="C411" s="412"/>
      <c r="D411" s="401"/>
      <c r="E411" s="385"/>
      <c r="F411" s="400"/>
      <c r="G411" s="396"/>
      <c r="H411" s="401" t="s">
        <v>910</v>
      </c>
      <c r="I411" s="385" t="s">
        <v>908</v>
      </c>
      <c r="J411" s="489"/>
      <c r="K411" s="412"/>
      <c r="L411" s="412"/>
      <c r="M411" s="490" t="s">
        <v>813</v>
      </c>
      <c r="N411" s="490">
        <v>15</v>
      </c>
    </row>
    <row r="412" spans="1:130" ht="40.5" hidden="1" outlineLevel="2">
      <c r="A412" s="412"/>
      <c r="B412" s="412"/>
      <c r="C412" s="412"/>
      <c r="D412" s="401"/>
      <c r="E412" s="385"/>
      <c r="F412" s="400"/>
      <c r="G412" s="396"/>
      <c r="H412" s="401" t="s">
        <v>911</v>
      </c>
      <c r="I412" s="385" t="s">
        <v>912</v>
      </c>
      <c r="J412" s="489"/>
      <c r="K412" s="412"/>
      <c r="L412" s="412"/>
      <c r="M412" s="490" t="s">
        <v>308</v>
      </c>
      <c r="N412" s="490">
        <v>0.68</v>
      </c>
    </row>
    <row r="413" spans="1:130" ht="40.5" hidden="1" outlineLevel="2">
      <c r="A413" s="412"/>
      <c r="B413" s="412"/>
      <c r="C413" s="412"/>
      <c r="D413" s="401"/>
      <c r="E413" s="385"/>
      <c r="F413" s="400"/>
      <c r="G413" s="396"/>
      <c r="H413" s="401" t="s">
        <v>913</v>
      </c>
      <c r="I413" s="385" t="s">
        <v>914</v>
      </c>
      <c r="J413" s="489"/>
      <c r="K413" s="412"/>
      <c r="L413" s="412"/>
      <c r="M413" s="490" t="s">
        <v>308</v>
      </c>
      <c r="N413" s="490">
        <v>0.68</v>
      </c>
    </row>
    <row r="414" spans="1:130" ht="60.75" hidden="1" outlineLevel="2">
      <c r="A414" s="412"/>
      <c r="B414" s="412"/>
      <c r="C414" s="412"/>
      <c r="D414" s="401"/>
      <c r="E414" s="385"/>
      <c r="F414" s="400"/>
      <c r="G414" s="396"/>
      <c r="H414" s="401" t="s">
        <v>915</v>
      </c>
      <c r="I414" s="385" t="s">
        <v>42</v>
      </c>
      <c r="J414" s="489"/>
      <c r="K414" s="412"/>
      <c r="L414" s="412"/>
      <c r="M414" s="490" t="s">
        <v>916</v>
      </c>
      <c r="N414" s="490">
        <v>8</v>
      </c>
    </row>
    <row r="415" spans="1:130" hidden="1" outlineLevel="2">
      <c r="A415" s="412"/>
      <c r="B415" s="412"/>
      <c r="C415" s="412"/>
      <c r="D415" s="401"/>
      <c r="E415" s="385"/>
      <c r="F415" s="400"/>
      <c r="G415" s="400"/>
      <c r="H415" s="401"/>
      <c r="I415" s="385" t="s">
        <v>215</v>
      </c>
      <c r="J415" s="489"/>
      <c r="K415" s="412"/>
      <c r="L415" s="412"/>
      <c r="M415" s="490" t="s">
        <v>813</v>
      </c>
      <c r="N415" s="490">
        <v>14</v>
      </c>
    </row>
    <row r="416" spans="1:130" s="411" customFormat="1" ht="88.5" customHeight="1" outlineLevel="1" collapsed="1">
      <c r="A416" s="412" t="s">
        <v>1307</v>
      </c>
      <c r="B416" s="490" t="s">
        <v>301</v>
      </c>
      <c r="C416" s="398" t="s">
        <v>906</v>
      </c>
      <c r="D416" s="399" t="s">
        <v>391</v>
      </c>
      <c r="E416" s="490" t="s">
        <v>917</v>
      </c>
      <c r="F416" s="385" t="s">
        <v>303</v>
      </c>
      <c r="G416" s="385"/>
      <c r="H416" s="401" t="s">
        <v>918</v>
      </c>
      <c r="I416" s="385" t="str">
        <f>CONCATENATE(I417," ",N417,M417," ",I418," ",N418,M418," ",I419," ",N419,M419," ",I420,N420," ",M420,)</f>
        <v>замена опор  1шт демонтаж провода (по трассе) 1,34км монтаж провода (по трассе) 1,34км Обрезка крон деревьев18 шт</v>
      </c>
      <c r="J416" s="385" t="s">
        <v>365</v>
      </c>
      <c r="K416" s="450">
        <v>44470</v>
      </c>
      <c r="L416" s="450">
        <v>44500</v>
      </c>
      <c r="M416" s="490"/>
      <c r="N416" s="490"/>
      <c r="O416" s="384"/>
      <c r="P416" s="384"/>
      <c r="Q416" s="384"/>
      <c r="R416" s="384"/>
      <c r="S416" s="384"/>
      <c r="T416" s="384"/>
      <c r="U416" s="384"/>
      <c r="V416" s="384"/>
      <c r="W416" s="384"/>
      <c r="X416" s="384"/>
      <c r="Y416" s="384"/>
      <c r="Z416" s="384"/>
      <c r="AA416" s="384"/>
      <c r="AB416" s="384"/>
      <c r="AC416" s="384"/>
      <c r="AD416" s="384"/>
      <c r="AE416" s="384"/>
      <c r="AF416" s="384"/>
      <c r="AG416" s="384"/>
      <c r="AH416" s="384"/>
      <c r="AI416" s="384"/>
      <c r="AJ416" s="384"/>
      <c r="AK416" s="384"/>
      <c r="AL416" s="384"/>
      <c r="AM416" s="384"/>
      <c r="AN416" s="384"/>
      <c r="AO416" s="384"/>
      <c r="AP416" s="384"/>
      <c r="AQ416" s="384"/>
      <c r="AR416" s="384"/>
      <c r="AS416" s="384"/>
      <c r="AT416" s="384"/>
      <c r="AU416" s="384"/>
      <c r="AV416" s="384"/>
      <c r="AW416" s="384"/>
      <c r="AX416" s="384"/>
      <c r="AY416" s="384"/>
      <c r="AZ416" s="384"/>
      <c r="BA416" s="384"/>
      <c r="BB416" s="384"/>
      <c r="BC416" s="384"/>
      <c r="BD416" s="384"/>
      <c r="BE416" s="384"/>
      <c r="BF416" s="384"/>
      <c r="BG416" s="384"/>
      <c r="BH416" s="384"/>
      <c r="BI416" s="384"/>
      <c r="BJ416" s="384"/>
      <c r="BK416" s="384"/>
      <c r="BL416" s="384"/>
      <c r="BM416" s="384"/>
      <c r="BN416" s="384"/>
      <c r="BO416" s="384"/>
      <c r="BP416" s="384"/>
      <c r="BQ416" s="384"/>
      <c r="BR416" s="384"/>
      <c r="BS416" s="384"/>
      <c r="BT416" s="384"/>
      <c r="BU416" s="384"/>
      <c r="BV416" s="384"/>
      <c r="BW416" s="384"/>
      <c r="BX416" s="384"/>
      <c r="BY416" s="384"/>
      <c r="BZ416" s="384"/>
      <c r="CA416" s="384"/>
      <c r="CB416" s="384"/>
      <c r="CC416" s="384"/>
      <c r="CD416" s="384"/>
      <c r="CE416" s="384"/>
      <c r="CF416" s="384"/>
      <c r="CG416" s="384"/>
      <c r="CH416" s="384"/>
      <c r="CI416" s="384"/>
      <c r="CJ416" s="384"/>
      <c r="CK416" s="384"/>
      <c r="CL416" s="384"/>
      <c r="CM416" s="384"/>
      <c r="CN416" s="384"/>
      <c r="CO416" s="384"/>
      <c r="CP416" s="384"/>
      <c r="CQ416" s="384"/>
      <c r="CR416" s="384"/>
      <c r="CS416" s="384"/>
      <c r="CT416" s="384"/>
      <c r="CU416" s="384"/>
      <c r="CV416" s="384"/>
      <c r="CW416" s="384"/>
      <c r="CX416" s="384"/>
      <c r="CY416" s="384"/>
      <c r="CZ416" s="384"/>
      <c r="DA416" s="384"/>
      <c r="DB416" s="384"/>
      <c r="DC416" s="384"/>
      <c r="DD416" s="384"/>
      <c r="DE416" s="384"/>
      <c r="DF416" s="384"/>
      <c r="DG416" s="384"/>
      <c r="DH416" s="384"/>
      <c r="DI416" s="384"/>
      <c r="DJ416" s="384"/>
      <c r="DK416" s="384"/>
      <c r="DL416" s="384"/>
      <c r="DM416" s="384"/>
      <c r="DN416" s="384"/>
      <c r="DO416" s="384"/>
      <c r="DP416" s="384"/>
      <c r="DQ416" s="384"/>
      <c r="DR416" s="384"/>
      <c r="DS416" s="384"/>
      <c r="DT416" s="384"/>
      <c r="DU416" s="384"/>
      <c r="DV416" s="384"/>
      <c r="DW416" s="384"/>
      <c r="DX416" s="384"/>
      <c r="DY416" s="384"/>
      <c r="DZ416" s="384"/>
    </row>
    <row r="417" spans="1:130" ht="77.25" hidden="1" customHeight="1" outlineLevel="2">
      <c r="A417" s="412"/>
      <c r="B417" s="412"/>
      <c r="C417" s="412"/>
      <c r="D417" s="401"/>
      <c r="E417" s="385"/>
      <c r="F417" s="400"/>
      <c r="G417" s="396"/>
      <c r="H417" s="401" t="s">
        <v>919</v>
      </c>
      <c r="I417" s="385" t="s">
        <v>908</v>
      </c>
      <c r="J417" s="489"/>
      <c r="K417" s="412"/>
      <c r="L417" s="412"/>
      <c r="M417" s="490" t="s">
        <v>813</v>
      </c>
      <c r="N417" s="490">
        <v>1</v>
      </c>
    </row>
    <row r="418" spans="1:130" hidden="1" outlineLevel="2">
      <c r="A418" s="412"/>
      <c r="B418" s="412"/>
      <c r="C418" s="412"/>
      <c r="D418" s="401"/>
      <c r="E418" s="385"/>
      <c r="F418" s="400"/>
      <c r="G418" s="396"/>
      <c r="H418" s="401" t="s">
        <v>920</v>
      </c>
      <c r="I418" s="385" t="s">
        <v>912</v>
      </c>
      <c r="J418" s="489"/>
      <c r="K418" s="412"/>
      <c r="L418" s="412"/>
      <c r="M418" s="490" t="s">
        <v>308</v>
      </c>
      <c r="N418" s="490">
        <v>1.34</v>
      </c>
    </row>
    <row r="419" spans="1:130" hidden="1" outlineLevel="2">
      <c r="A419" s="412"/>
      <c r="B419" s="412"/>
      <c r="C419" s="412"/>
      <c r="D419" s="401"/>
      <c r="E419" s="385"/>
      <c r="F419" s="400"/>
      <c r="G419" s="396"/>
      <c r="H419" s="401" t="s">
        <v>920</v>
      </c>
      <c r="I419" s="385" t="s">
        <v>914</v>
      </c>
      <c r="J419" s="489"/>
      <c r="K419" s="412"/>
      <c r="L419" s="412"/>
      <c r="M419" s="490" t="s">
        <v>308</v>
      </c>
      <c r="N419" s="490">
        <v>1.34</v>
      </c>
    </row>
    <row r="420" spans="1:130" hidden="1" outlineLevel="2">
      <c r="A420" s="412"/>
      <c r="B420" s="412"/>
      <c r="C420" s="412"/>
      <c r="D420" s="401"/>
      <c r="E420" s="385"/>
      <c r="F420" s="400"/>
      <c r="G420" s="400"/>
      <c r="H420" s="401" t="s">
        <v>921</v>
      </c>
      <c r="I420" s="385" t="s">
        <v>215</v>
      </c>
      <c r="J420" s="489"/>
      <c r="K420" s="412"/>
      <c r="L420" s="412"/>
      <c r="M420" s="490" t="s">
        <v>813</v>
      </c>
      <c r="N420" s="490">
        <v>18</v>
      </c>
    </row>
    <row r="421" spans="1:130" s="411" customFormat="1" ht="88.5" customHeight="1" outlineLevel="1" collapsed="1">
      <c r="A421" s="412" t="s">
        <v>1308</v>
      </c>
      <c r="B421" s="490" t="s">
        <v>301</v>
      </c>
      <c r="C421" s="398" t="s">
        <v>906</v>
      </c>
      <c r="D421" s="399" t="s">
        <v>391</v>
      </c>
      <c r="E421" s="490" t="s">
        <v>922</v>
      </c>
      <c r="F421" s="385" t="s">
        <v>303</v>
      </c>
      <c r="G421" s="385"/>
      <c r="H421" s="401" t="s">
        <v>923</v>
      </c>
      <c r="I421" s="385" t="str">
        <f>CONCATENATE(I422," ",N422,M422," ",I423," ",N423,M423," ",I424," ",N424,M424," ",I425," ",N425,M425," ",I426,N426," ",M426,)</f>
        <v>замена опор  22шт демонтаж провода (по трассе) 1,94км монтаж провода (по трассе) 1,94км Замена ответвлений к зданиям 18отв. Обрезка крон деревьев18 шт</v>
      </c>
      <c r="J421" s="385" t="s">
        <v>365</v>
      </c>
      <c r="K421" s="450">
        <v>44409</v>
      </c>
      <c r="L421" s="450">
        <v>44469</v>
      </c>
      <c r="M421" s="490"/>
      <c r="N421" s="490"/>
      <c r="O421" s="384"/>
      <c r="P421" s="384"/>
      <c r="Q421" s="384"/>
      <c r="R421" s="384"/>
      <c r="S421" s="384"/>
      <c r="T421" s="384"/>
      <c r="U421" s="384"/>
      <c r="V421" s="384"/>
      <c r="W421" s="384"/>
      <c r="X421" s="384"/>
      <c r="Y421" s="384"/>
      <c r="Z421" s="384"/>
      <c r="AA421" s="384"/>
      <c r="AB421" s="384"/>
      <c r="AC421" s="384"/>
      <c r="AD421" s="384"/>
      <c r="AE421" s="384"/>
      <c r="AF421" s="384"/>
      <c r="AG421" s="384"/>
      <c r="AH421" s="384"/>
      <c r="AI421" s="384"/>
      <c r="AJ421" s="384"/>
      <c r="AK421" s="384"/>
      <c r="AL421" s="384"/>
      <c r="AM421" s="384"/>
      <c r="AN421" s="384"/>
      <c r="AO421" s="384"/>
      <c r="AP421" s="384"/>
      <c r="AQ421" s="384"/>
      <c r="AR421" s="384"/>
      <c r="AS421" s="384"/>
      <c r="AT421" s="384"/>
      <c r="AU421" s="384"/>
      <c r="AV421" s="384"/>
      <c r="AW421" s="384"/>
      <c r="AX421" s="384"/>
      <c r="AY421" s="384"/>
      <c r="AZ421" s="384"/>
      <c r="BA421" s="384"/>
      <c r="BB421" s="384"/>
      <c r="BC421" s="384"/>
      <c r="BD421" s="384"/>
      <c r="BE421" s="384"/>
      <c r="BF421" s="384"/>
      <c r="BG421" s="384"/>
      <c r="BH421" s="384"/>
      <c r="BI421" s="384"/>
      <c r="BJ421" s="384"/>
      <c r="BK421" s="384"/>
      <c r="BL421" s="384"/>
      <c r="BM421" s="384"/>
      <c r="BN421" s="384"/>
      <c r="BO421" s="384"/>
      <c r="BP421" s="384"/>
      <c r="BQ421" s="384"/>
      <c r="BR421" s="384"/>
      <c r="BS421" s="384"/>
      <c r="BT421" s="384"/>
      <c r="BU421" s="384"/>
      <c r="BV421" s="384"/>
      <c r="BW421" s="384"/>
      <c r="BX421" s="384"/>
      <c r="BY421" s="384"/>
      <c r="BZ421" s="384"/>
      <c r="CA421" s="384"/>
      <c r="CB421" s="384"/>
      <c r="CC421" s="384"/>
      <c r="CD421" s="384"/>
      <c r="CE421" s="384"/>
      <c r="CF421" s="384"/>
      <c r="CG421" s="384"/>
      <c r="CH421" s="384"/>
      <c r="CI421" s="384"/>
      <c r="CJ421" s="384"/>
      <c r="CK421" s="384"/>
      <c r="CL421" s="384"/>
      <c r="CM421" s="384"/>
      <c r="CN421" s="384"/>
      <c r="CO421" s="384"/>
      <c r="CP421" s="384"/>
      <c r="CQ421" s="384"/>
      <c r="CR421" s="384"/>
      <c r="CS421" s="384"/>
      <c r="CT421" s="384"/>
      <c r="CU421" s="384"/>
      <c r="CV421" s="384"/>
      <c r="CW421" s="384"/>
      <c r="CX421" s="384"/>
      <c r="CY421" s="384"/>
      <c r="CZ421" s="384"/>
      <c r="DA421" s="384"/>
      <c r="DB421" s="384"/>
      <c r="DC421" s="384"/>
      <c r="DD421" s="384"/>
      <c r="DE421" s="384"/>
      <c r="DF421" s="384"/>
      <c r="DG421" s="384"/>
      <c r="DH421" s="384"/>
      <c r="DI421" s="384"/>
      <c r="DJ421" s="384"/>
      <c r="DK421" s="384"/>
      <c r="DL421" s="384"/>
      <c r="DM421" s="384"/>
      <c r="DN421" s="384"/>
      <c r="DO421" s="384"/>
      <c r="DP421" s="384"/>
      <c r="DQ421" s="384"/>
      <c r="DR421" s="384"/>
      <c r="DS421" s="384"/>
      <c r="DT421" s="384"/>
      <c r="DU421" s="384"/>
      <c r="DV421" s="384"/>
      <c r="DW421" s="384"/>
      <c r="DX421" s="384"/>
      <c r="DY421" s="384"/>
      <c r="DZ421" s="384"/>
    </row>
    <row r="422" spans="1:130" ht="77.25" hidden="1" customHeight="1" outlineLevel="2">
      <c r="A422" s="412"/>
      <c r="B422" s="412"/>
      <c r="C422" s="412"/>
      <c r="D422" s="401"/>
      <c r="E422" s="385"/>
      <c r="F422" s="400"/>
      <c r="G422" s="396"/>
      <c r="H422" s="401" t="s">
        <v>924</v>
      </c>
      <c r="I422" s="385" t="s">
        <v>908</v>
      </c>
      <c r="J422" s="489"/>
      <c r="K422" s="412"/>
      <c r="L422" s="412"/>
      <c r="M422" s="490" t="s">
        <v>813</v>
      </c>
      <c r="N422" s="490">
        <v>22</v>
      </c>
    </row>
    <row r="423" spans="1:130" ht="40.5" hidden="1" outlineLevel="2">
      <c r="A423" s="412"/>
      <c r="B423" s="412"/>
      <c r="C423" s="412"/>
      <c r="D423" s="401"/>
      <c r="E423" s="385"/>
      <c r="F423" s="400"/>
      <c r="G423" s="396"/>
      <c r="H423" s="401" t="s">
        <v>925</v>
      </c>
      <c r="I423" s="385" t="s">
        <v>912</v>
      </c>
      <c r="J423" s="489"/>
      <c r="K423" s="412"/>
      <c r="L423" s="412"/>
      <c r="M423" s="490" t="s">
        <v>308</v>
      </c>
      <c r="N423" s="490">
        <v>1.94</v>
      </c>
    </row>
    <row r="424" spans="1:130" ht="40.5" hidden="1" outlineLevel="2">
      <c r="A424" s="412"/>
      <c r="B424" s="412"/>
      <c r="C424" s="412"/>
      <c r="D424" s="401"/>
      <c r="E424" s="385"/>
      <c r="F424" s="400"/>
      <c r="G424" s="396"/>
      <c r="H424" s="401" t="s">
        <v>925</v>
      </c>
      <c r="I424" s="385" t="s">
        <v>914</v>
      </c>
      <c r="J424" s="489"/>
      <c r="K424" s="412"/>
      <c r="L424" s="412"/>
      <c r="M424" s="490" t="s">
        <v>308</v>
      </c>
      <c r="N424" s="490">
        <v>1.94</v>
      </c>
    </row>
    <row r="425" spans="1:130" ht="97.5" hidden="1" customHeight="1" outlineLevel="2">
      <c r="A425" s="412"/>
      <c r="B425" s="412"/>
      <c r="C425" s="412"/>
      <c r="D425" s="401"/>
      <c r="E425" s="385"/>
      <c r="F425" s="400"/>
      <c r="G425" s="396"/>
      <c r="H425" s="401" t="s">
        <v>926</v>
      </c>
      <c r="I425" s="385" t="s">
        <v>42</v>
      </c>
      <c r="J425" s="489"/>
      <c r="K425" s="412"/>
      <c r="L425" s="412"/>
      <c r="M425" s="490" t="s">
        <v>916</v>
      </c>
      <c r="N425" s="490">
        <v>18</v>
      </c>
    </row>
    <row r="426" spans="1:130" hidden="1" outlineLevel="2">
      <c r="A426" s="412"/>
      <c r="B426" s="412"/>
      <c r="C426" s="412"/>
      <c r="D426" s="401"/>
      <c r="E426" s="385"/>
      <c r="F426" s="400"/>
      <c r="G426" s="400"/>
      <c r="H426" s="401" t="s">
        <v>927</v>
      </c>
      <c r="I426" s="385" t="s">
        <v>215</v>
      </c>
      <c r="J426" s="489"/>
      <c r="K426" s="412"/>
      <c r="L426" s="412"/>
      <c r="M426" s="490" t="s">
        <v>813</v>
      </c>
      <c r="N426" s="490">
        <v>18</v>
      </c>
    </row>
    <row r="427" spans="1:130" s="411" customFormat="1" ht="88.5" customHeight="1" outlineLevel="1" collapsed="1">
      <c r="A427" s="412" t="s">
        <v>1309</v>
      </c>
      <c r="B427" s="490" t="s">
        <v>301</v>
      </c>
      <c r="C427" s="398" t="s">
        <v>607</v>
      </c>
      <c r="D427" s="399" t="s">
        <v>391</v>
      </c>
      <c r="E427" s="490" t="s">
        <v>1598</v>
      </c>
      <c r="F427" s="385" t="s">
        <v>1606</v>
      </c>
      <c r="G427" s="385"/>
      <c r="H427" s="401" t="s">
        <v>1599</v>
      </c>
      <c r="I427" s="385" t="str">
        <f>CONCATENATE(I428," ",N428,M428," ",I429," ",N429,M429," ",I431," ",N431,M431," ",I432," ",N432,M432," ",I430," ",N430,M430)</f>
        <v>демонтаж опор 24шт монтаж опор 21шт монтаж провода (по трассе) 0,725км Замена ответвлений к зданиям 5отв. демонтаж провода (по трассе) 93,996км</v>
      </c>
      <c r="J427" s="385" t="s">
        <v>365</v>
      </c>
      <c r="K427" s="450">
        <v>44470</v>
      </c>
      <c r="L427" s="450">
        <v>44500</v>
      </c>
      <c r="M427" s="490"/>
      <c r="N427" s="490"/>
      <c r="O427" s="384"/>
      <c r="P427" s="384"/>
      <c r="Q427" s="384"/>
      <c r="R427" s="384"/>
      <c r="S427" s="384"/>
      <c r="T427" s="384"/>
      <c r="U427" s="384"/>
      <c r="V427" s="384"/>
      <c r="W427" s="384"/>
      <c r="X427" s="384"/>
      <c r="Y427" s="384"/>
      <c r="Z427" s="384"/>
      <c r="AA427" s="384"/>
      <c r="AB427" s="384"/>
      <c r="AC427" s="384"/>
      <c r="AD427" s="384"/>
      <c r="AE427" s="384"/>
      <c r="AF427" s="384"/>
      <c r="AG427" s="384"/>
      <c r="AH427" s="384"/>
      <c r="AI427" s="384"/>
      <c r="AJ427" s="384"/>
      <c r="AK427" s="384"/>
      <c r="AL427" s="384"/>
      <c r="AM427" s="384"/>
      <c r="AN427" s="384"/>
      <c r="AO427" s="384"/>
      <c r="AP427" s="384"/>
      <c r="AQ427" s="384"/>
      <c r="AR427" s="384"/>
      <c r="AS427" s="384"/>
      <c r="AT427" s="384"/>
      <c r="AU427" s="384"/>
      <c r="AV427" s="384"/>
      <c r="AW427" s="384"/>
      <c r="AX427" s="384"/>
      <c r="AY427" s="384"/>
      <c r="AZ427" s="384"/>
      <c r="BA427" s="384"/>
      <c r="BB427" s="384"/>
      <c r="BC427" s="384"/>
      <c r="BD427" s="384"/>
      <c r="BE427" s="384"/>
      <c r="BF427" s="384"/>
      <c r="BG427" s="384"/>
      <c r="BH427" s="384"/>
      <c r="BI427" s="384"/>
      <c r="BJ427" s="384"/>
      <c r="BK427" s="384"/>
      <c r="BL427" s="384"/>
      <c r="BM427" s="384"/>
      <c r="BN427" s="384"/>
      <c r="BO427" s="384"/>
      <c r="BP427" s="384"/>
      <c r="BQ427" s="384"/>
      <c r="BR427" s="384"/>
      <c r="BS427" s="384"/>
      <c r="BT427" s="384"/>
      <c r="BU427" s="384"/>
      <c r="BV427" s="384"/>
      <c r="BW427" s="384"/>
      <c r="BX427" s="384"/>
      <c r="BY427" s="384"/>
      <c r="BZ427" s="384"/>
      <c r="CA427" s="384"/>
      <c r="CB427" s="384"/>
      <c r="CC427" s="384"/>
      <c r="CD427" s="384"/>
      <c r="CE427" s="384"/>
      <c r="CF427" s="384"/>
      <c r="CG427" s="384"/>
      <c r="CH427" s="384"/>
      <c r="CI427" s="384"/>
      <c r="CJ427" s="384"/>
      <c r="CK427" s="384"/>
      <c r="CL427" s="384"/>
      <c r="CM427" s="384"/>
      <c r="CN427" s="384"/>
      <c r="CO427" s="384"/>
      <c r="CP427" s="384"/>
      <c r="CQ427" s="384"/>
      <c r="CR427" s="384"/>
      <c r="CS427" s="384"/>
      <c r="CT427" s="384"/>
      <c r="CU427" s="384"/>
      <c r="CV427" s="384"/>
      <c r="CW427" s="384"/>
      <c r="CX427" s="384"/>
      <c r="CY427" s="384"/>
      <c r="CZ427" s="384"/>
      <c r="DA427" s="384"/>
      <c r="DB427" s="384"/>
      <c r="DC427" s="384"/>
      <c r="DD427" s="384"/>
      <c r="DE427" s="384"/>
      <c r="DF427" s="384"/>
      <c r="DG427" s="384"/>
      <c r="DH427" s="384"/>
      <c r="DI427" s="384"/>
      <c r="DJ427" s="384"/>
      <c r="DK427" s="384"/>
      <c r="DL427" s="384"/>
      <c r="DM427" s="384"/>
      <c r="DN427" s="384"/>
      <c r="DO427" s="384"/>
      <c r="DP427" s="384"/>
      <c r="DQ427" s="384"/>
      <c r="DR427" s="384"/>
      <c r="DS427" s="384"/>
      <c r="DT427" s="384"/>
      <c r="DU427" s="384"/>
      <c r="DV427" s="384"/>
      <c r="DW427" s="384"/>
      <c r="DX427" s="384"/>
      <c r="DY427" s="384"/>
      <c r="DZ427" s="384"/>
    </row>
    <row r="428" spans="1:130" ht="77.25" hidden="1" customHeight="1" outlineLevel="2">
      <c r="A428" s="412"/>
      <c r="B428" s="412"/>
      <c r="C428" s="412"/>
      <c r="D428" s="401"/>
      <c r="E428" s="385"/>
      <c r="F428" s="400"/>
      <c r="G428" s="396"/>
      <c r="H428" s="401" t="s">
        <v>1600</v>
      </c>
      <c r="I428" s="385" t="s">
        <v>932</v>
      </c>
      <c r="J428" s="489"/>
      <c r="K428" s="412"/>
      <c r="L428" s="412"/>
      <c r="M428" s="490" t="s">
        <v>813</v>
      </c>
      <c r="N428" s="490">
        <v>24</v>
      </c>
    </row>
    <row r="429" spans="1:130" ht="40.5" hidden="1" outlineLevel="2">
      <c r="A429" s="412"/>
      <c r="B429" s="412"/>
      <c r="C429" s="412"/>
      <c r="D429" s="401"/>
      <c r="E429" s="385"/>
      <c r="F429" s="400"/>
      <c r="G429" s="396"/>
      <c r="H429" s="401" t="s">
        <v>1601</v>
      </c>
      <c r="I429" s="385" t="s">
        <v>1005</v>
      </c>
      <c r="J429" s="489"/>
      <c r="K429" s="412"/>
      <c r="L429" s="412"/>
      <c r="M429" s="490" t="s">
        <v>813</v>
      </c>
      <c r="N429" s="490">
        <v>21</v>
      </c>
    </row>
    <row r="430" spans="1:130" ht="40.5" hidden="1" outlineLevel="2">
      <c r="A430" s="412"/>
      <c r="B430" s="412"/>
      <c r="C430" s="412"/>
      <c r="D430" s="401"/>
      <c r="E430" s="385"/>
      <c r="F430" s="400"/>
      <c r="G430" s="396"/>
      <c r="H430" s="401" t="s">
        <v>1603</v>
      </c>
      <c r="I430" s="385" t="s">
        <v>912</v>
      </c>
      <c r="J430" s="489"/>
      <c r="K430" s="412"/>
      <c r="L430" s="412"/>
      <c r="M430" s="490" t="s">
        <v>308</v>
      </c>
      <c r="N430" s="490">
        <v>93.995999999999995</v>
      </c>
    </row>
    <row r="431" spans="1:130" ht="40.5" hidden="1" outlineLevel="2">
      <c r="A431" s="412"/>
      <c r="B431" s="412"/>
      <c r="C431" s="412"/>
      <c r="D431" s="401"/>
      <c r="E431" s="385"/>
      <c r="F431" s="400"/>
      <c r="G431" s="396"/>
      <c r="H431" s="401" t="s">
        <v>1604</v>
      </c>
      <c r="I431" s="385" t="s">
        <v>914</v>
      </c>
      <c r="J431" s="489"/>
      <c r="K431" s="412"/>
      <c r="L431" s="412"/>
      <c r="M431" s="490" t="s">
        <v>308</v>
      </c>
      <c r="N431" s="490">
        <v>0.72499999999999998</v>
      </c>
    </row>
    <row r="432" spans="1:130" ht="97.5" hidden="1" customHeight="1" outlineLevel="2">
      <c r="A432" s="412"/>
      <c r="B432" s="412"/>
      <c r="C432" s="412"/>
      <c r="D432" s="401"/>
      <c r="E432" s="385"/>
      <c r="F432" s="400"/>
      <c r="G432" s="396"/>
      <c r="H432" s="401" t="s">
        <v>1602</v>
      </c>
      <c r="I432" s="385" t="s">
        <v>42</v>
      </c>
      <c r="J432" s="489"/>
      <c r="K432" s="412"/>
      <c r="L432" s="412"/>
      <c r="M432" s="490" t="s">
        <v>916</v>
      </c>
      <c r="N432" s="490">
        <v>5</v>
      </c>
    </row>
    <row r="433" spans="1:130" s="411" customFormat="1" ht="88.5" customHeight="1" outlineLevel="1" collapsed="1">
      <c r="A433" s="412" t="s">
        <v>1310</v>
      </c>
      <c r="B433" s="490" t="s">
        <v>301</v>
      </c>
      <c r="C433" s="398" t="s">
        <v>520</v>
      </c>
      <c r="D433" s="399" t="s">
        <v>391</v>
      </c>
      <c r="E433" s="490" t="s">
        <v>928</v>
      </c>
      <c r="F433" s="385" t="s">
        <v>303</v>
      </c>
      <c r="G433" s="385"/>
      <c r="H433" s="401" t="s">
        <v>3367</v>
      </c>
      <c r="I433" s="385" t="str">
        <f>CONCATENATE(I434," ",N434,M434," ",I435," ",N435,M435," ",I436," ",N436,M436," ",I437," ",N437,M437," ",I438,N438," ",M438," ",I439," ",N439,M439,)</f>
        <v>переустановка опор 5шт демонтаж опор 1шт переустановка укосса 1шт Замена ответвлений к зданиям 2отв. демонтаж провода (по трассе)0,175 км монтаж провода (по трассе) 0,175км</v>
      </c>
      <c r="J433" s="385" t="s">
        <v>365</v>
      </c>
      <c r="K433" s="450">
        <v>44378</v>
      </c>
      <c r="L433" s="450">
        <v>44408</v>
      </c>
      <c r="M433" s="490"/>
      <c r="N433" s="490"/>
      <c r="O433" s="384"/>
      <c r="P433" s="384"/>
      <c r="Q433" s="384"/>
      <c r="R433" s="384"/>
      <c r="S433" s="384"/>
      <c r="T433" s="384"/>
      <c r="U433" s="384"/>
      <c r="V433" s="384"/>
      <c r="W433" s="384"/>
      <c r="X433" s="384"/>
      <c r="Y433" s="384"/>
      <c r="Z433" s="384"/>
      <c r="AA433" s="384"/>
      <c r="AB433" s="384"/>
      <c r="AC433" s="384"/>
      <c r="AD433" s="384"/>
      <c r="AE433" s="384"/>
      <c r="AF433" s="384"/>
      <c r="AG433" s="384"/>
      <c r="AH433" s="384"/>
      <c r="AI433" s="384"/>
      <c r="AJ433" s="384"/>
      <c r="AK433" s="384"/>
      <c r="AL433" s="384"/>
      <c r="AM433" s="384"/>
      <c r="AN433" s="384"/>
      <c r="AO433" s="384"/>
      <c r="AP433" s="384"/>
      <c r="AQ433" s="384"/>
      <c r="AR433" s="384"/>
      <c r="AS433" s="384"/>
      <c r="AT433" s="384"/>
      <c r="AU433" s="384"/>
      <c r="AV433" s="384"/>
      <c r="AW433" s="384"/>
      <c r="AX433" s="384"/>
      <c r="AY433" s="384"/>
      <c r="AZ433" s="384"/>
      <c r="BA433" s="384"/>
      <c r="BB433" s="384"/>
      <c r="BC433" s="384"/>
      <c r="BD433" s="384"/>
      <c r="BE433" s="384"/>
      <c r="BF433" s="384"/>
      <c r="BG433" s="384"/>
      <c r="BH433" s="384"/>
      <c r="BI433" s="384"/>
      <c r="BJ433" s="384"/>
      <c r="BK433" s="384"/>
      <c r="BL433" s="384"/>
      <c r="BM433" s="384"/>
      <c r="BN433" s="384"/>
      <c r="BO433" s="384"/>
      <c r="BP433" s="384"/>
      <c r="BQ433" s="384"/>
      <c r="BR433" s="384"/>
      <c r="BS433" s="384"/>
      <c r="BT433" s="384"/>
      <c r="BU433" s="384"/>
      <c r="BV433" s="384"/>
      <c r="BW433" s="384"/>
      <c r="BX433" s="384"/>
      <c r="BY433" s="384"/>
      <c r="BZ433" s="384"/>
      <c r="CA433" s="384"/>
      <c r="CB433" s="384"/>
      <c r="CC433" s="384"/>
      <c r="CD433" s="384"/>
      <c r="CE433" s="384"/>
      <c r="CF433" s="384"/>
      <c r="CG433" s="384"/>
      <c r="CH433" s="384"/>
      <c r="CI433" s="384"/>
      <c r="CJ433" s="384"/>
      <c r="CK433" s="384"/>
      <c r="CL433" s="384"/>
      <c r="CM433" s="384"/>
      <c r="CN433" s="384"/>
      <c r="CO433" s="384"/>
      <c r="CP433" s="384"/>
      <c r="CQ433" s="384"/>
      <c r="CR433" s="384"/>
      <c r="CS433" s="384"/>
      <c r="CT433" s="384"/>
      <c r="CU433" s="384"/>
      <c r="CV433" s="384"/>
      <c r="CW433" s="384"/>
      <c r="CX433" s="384"/>
      <c r="CY433" s="384"/>
      <c r="CZ433" s="384"/>
      <c r="DA433" s="384"/>
      <c r="DB433" s="384"/>
      <c r="DC433" s="384"/>
      <c r="DD433" s="384"/>
      <c r="DE433" s="384"/>
      <c r="DF433" s="384"/>
      <c r="DG433" s="384"/>
      <c r="DH433" s="384"/>
      <c r="DI433" s="384"/>
      <c r="DJ433" s="384"/>
      <c r="DK433" s="384"/>
      <c r="DL433" s="384"/>
      <c r="DM433" s="384"/>
      <c r="DN433" s="384"/>
      <c r="DO433" s="384"/>
      <c r="DP433" s="384"/>
      <c r="DQ433" s="384"/>
      <c r="DR433" s="384"/>
      <c r="DS433" s="384"/>
      <c r="DT433" s="384"/>
      <c r="DU433" s="384"/>
      <c r="DV433" s="384"/>
      <c r="DW433" s="384"/>
      <c r="DX433" s="384"/>
      <c r="DY433" s="384"/>
      <c r="DZ433" s="384"/>
    </row>
    <row r="434" spans="1:130" ht="77.25" hidden="1" customHeight="1" outlineLevel="2">
      <c r="A434" s="412"/>
      <c r="B434" s="412"/>
      <c r="C434" s="412"/>
      <c r="D434" s="401"/>
      <c r="E434" s="490"/>
      <c r="F434" s="400"/>
      <c r="G434" s="396"/>
      <c r="H434" s="401" t="s">
        <v>929</v>
      </c>
      <c r="I434" s="385" t="s">
        <v>930</v>
      </c>
      <c r="J434" s="489"/>
      <c r="K434" s="412"/>
      <c r="L434" s="412"/>
      <c r="M434" s="490" t="s">
        <v>813</v>
      </c>
      <c r="N434" s="490">
        <v>5</v>
      </c>
    </row>
    <row r="435" spans="1:130" hidden="1" outlineLevel="2">
      <c r="A435" s="412"/>
      <c r="B435" s="412"/>
      <c r="C435" s="412"/>
      <c r="D435" s="401"/>
      <c r="E435" s="490"/>
      <c r="F435" s="400"/>
      <c r="G435" s="396"/>
      <c r="H435" s="401" t="s">
        <v>931</v>
      </c>
      <c r="I435" s="385" t="s">
        <v>932</v>
      </c>
      <c r="J435" s="489"/>
      <c r="K435" s="412"/>
      <c r="L435" s="412"/>
      <c r="M435" s="490" t="s">
        <v>813</v>
      </c>
      <c r="N435" s="490">
        <v>1</v>
      </c>
    </row>
    <row r="436" spans="1:130" hidden="1" outlineLevel="2">
      <c r="A436" s="412"/>
      <c r="B436" s="412"/>
      <c r="C436" s="412"/>
      <c r="D436" s="401"/>
      <c r="E436" s="490"/>
      <c r="F436" s="400"/>
      <c r="G436" s="396"/>
      <c r="H436" s="401" t="s">
        <v>933</v>
      </c>
      <c r="I436" s="385" t="s">
        <v>934</v>
      </c>
      <c r="J436" s="489"/>
      <c r="K436" s="412"/>
      <c r="L436" s="412"/>
      <c r="M436" s="490" t="s">
        <v>813</v>
      </c>
      <c r="N436" s="490">
        <v>1</v>
      </c>
    </row>
    <row r="437" spans="1:130" ht="97.5" hidden="1" customHeight="1" outlineLevel="2">
      <c r="A437" s="412"/>
      <c r="B437" s="412"/>
      <c r="C437" s="412"/>
      <c r="D437" s="401"/>
      <c r="E437" s="490"/>
      <c r="F437" s="400"/>
      <c r="G437" s="396"/>
      <c r="H437" s="401" t="s">
        <v>935</v>
      </c>
      <c r="I437" s="385" t="s">
        <v>42</v>
      </c>
      <c r="J437" s="489"/>
      <c r="K437" s="412"/>
      <c r="L437" s="412"/>
      <c r="M437" s="490" t="s">
        <v>916</v>
      </c>
      <c r="N437" s="490">
        <v>2</v>
      </c>
    </row>
    <row r="438" spans="1:130" hidden="1" outlineLevel="2">
      <c r="A438" s="412"/>
      <c r="B438" s="412"/>
      <c r="C438" s="412"/>
      <c r="D438" s="401"/>
      <c r="E438" s="490"/>
      <c r="F438" s="400"/>
      <c r="G438" s="400"/>
      <c r="H438" s="401" t="s">
        <v>936</v>
      </c>
      <c r="I438" s="385" t="s">
        <v>912</v>
      </c>
      <c r="J438" s="489"/>
      <c r="K438" s="412"/>
      <c r="L438" s="412"/>
      <c r="M438" s="490" t="s">
        <v>308</v>
      </c>
      <c r="N438" s="490">
        <v>0.17499999999999999</v>
      </c>
    </row>
    <row r="439" spans="1:130" hidden="1" outlineLevel="2">
      <c r="A439" s="412"/>
      <c r="B439" s="412"/>
      <c r="C439" s="412"/>
      <c r="D439" s="401"/>
      <c r="E439" s="490"/>
      <c r="F439" s="400"/>
      <c r="G439" s="400"/>
      <c r="H439" s="401" t="s">
        <v>936</v>
      </c>
      <c r="I439" s="385" t="s">
        <v>914</v>
      </c>
      <c r="J439" s="489"/>
      <c r="K439" s="412"/>
      <c r="L439" s="412"/>
      <c r="M439" s="490" t="s">
        <v>308</v>
      </c>
      <c r="N439" s="490">
        <v>0.17499999999999999</v>
      </c>
    </row>
    <row r="440" spans="1:130" s="411" customFormat="1" ht="88.5" customHeight="1" outlineLevel="1" collapsed="1">
      <c r="A440" s="412" t="s">
        <v>1758</v>
      </c>
      <c r="B440" s="490" t="s">
        <v>301</v>
      </c>
      <c r="C440" s="398" t="s">
        <v>520</v>
      </c>
      <c r="D440" s="399" t="s">
        <v>391</v>
      </c>
      <c r="E440" s="490" t="s">
        <v>937</v>
      </c>
      <c r="F440" s="385" t="s">
        <v>303</v>
      </c>
      <c r="G440" s="385"/>
      <c r="H440" s="401" t="s">
        <v>1210</v>
      </c>
      <c r="I440" s="385" t="str">
        <f>CONCATENATE(I441," ",N441,M441," ",I442," ",N442,M442," ",I443," ",N443,M443," ",I444,N444," ",M444," ",I445," ",N445,M445,)</f>
        <v>замена опор 6шт установка укосов 4шт Замена ответвлений к зданиям 2отв. демонтаж провода (по трассе)0,172 км монтаж провода (по трассе) 0,172км</v>
      </c>
      <c r="J440" s="385" t="s">
        <v>365</v>
      </c>
      <c r="K440" s="450">
        <v>44470</v>
      </c>
      <c r="L440" s="450">
        <v>44500</v>
      </c>
      <c r="M440" s="490"/>
      <c r="N440" s="490"/>
      <c r="O440" s="384"/>
      <c r="P440" s="384"/>
      <c r="Q440" s="384"/>
      <c r="R440" s="384"/>
      <c r="S440" s="384"/>
      <c r="T440" s="384"/>
      <c r="U440" s="384"/>
      <c r="V440" s="384"/>
      <c r="W440" s="384"/>
      <c r="X440" s="384"/>
      <c r="Y440" s="384"/>
      <c r="Z440" s="384"/>
      <c r="AA440" s="384"/>
      <c r="AB440" s="384"/>
      <c r="AC440" s="384"/>
      <c r="AD440" s="384"/>
      <c r="AE440" s="384"/>
      <c r="AF440" s="384"/>
      <c r="AG440" s="384"/>
      <c r="AH440" s="384"/>
      <c r="AI440" s="384"/>
      <c r="AJ440" s="384"/>
      <c r="AK440" s="384"/>
      <c r="AL440" s="384"/>
      <c r="AM440" s="384"/>
      <c r="AN440" s="384"/>
      <c r="AO440" s="384"/>
      <c r="AP440" s="384"/>
      <c r="AQ440" s="384"/>
      <c r="AR440" s="384"/>
      <c r="AS440" s="384"/>
      <c r="AT440" s="384"/>
      <c r="AU440" s="384"/>
      <c r="AV440" s="384"/>
      <c r="AW440" s="384"/>
      <c r="AX440" s="384"/>
      <c r="AY440" s="384"/>
      <c r="AZ440" s="384"/>
      <c r="BA440" s="384"/>
      <c r="BB440" s="384"/>
      <c r="BC440" s="384"/>
      <c r="BD440" s="384"/>
      <c r="BE440" s="384"/>
      <c r="BF440" s="384"/>
      <c r="BG440" s="384"/>
      <c r="BH440" s="384"/>
      <c r="BI440" s="384"/>
      <c r="BJ440" s="384"/>
      <c r="BK440" s="384"/>
      <c r="BL440" s="384"/>
      <c r="BM440" s="384"/>
      <c r="BN440" s="384"/>
      <c r="BO440" s="384"/>
      <c r="BP440" s="384"/>
      <c r="BQ440" s="384"/>
      <c r="BR440" s="384"/>
      <c r="BS440" s="384"/>
      <c r="BT440" s="384"/>
      <c r="BU440" s="384"/>
      <c r="BV440" s="384"/>
      <c r="BW440" s="384"/>
      <c r="BX440" s="384"/>
      <c r="BY440" s="384"/>
      <c r="BZ440" s="384"/>
      <c r="CA440" s="384"/>
      <c r="CB440" s="384"/>
      <c r="CC440" s="384"/>
      <c r="CD440" s="384"/>
      <c r="CE440" s="384"/>
      <c r="CF440" s="384"/>
      <c r="CG440" s="384"/>
      <c r="CH440" s="384"/>
      <c r="CI440" s="384"/>
      <c r="CJ440" s="384"/>
      <c r="CK440" s="384"/>
      <c r="CL440" s="384"/>
      <c r="CM440" s="384"/>
      <c r="CN440" s="384"/>
      <c r="CO440" s="384"/>
      <c r="CP440" s="384"/>
      <c r="CQ440" s="384"/>
      <c r="CR440" s="384"/>
      <c r="CS440" s="384"/>
      <c r="CT440" s="384"/>
      <c r="CU440" s="384"/>
      <c r="CV440" s="384"/>
      <c r="CW440" s="384"/>
      <c r="CX440" s="384"/>
      <c r="CY440" s="384"/>
      <c r="CZ440" s="384"/>
      <c r="DA440" s="384"/>
      <c r="DB440" s="384"/>
      <c r="DC440" s="384"/>
      <c r="DD440" s="384"/>
      <c r="DE440" s="384"/>
      <c r="DF440" s="384"/>
      <c r="DG440" s="384"/>
      <c r="DH440" s="384"/>
      <c r="DI440" s="384"/>
      <c r="DJ440" s="384"/>
      <c r="DK440" s="384"/>
      <c r="DL440" s="384"/>
      <c r="DM440" s="384"/>
      <c r="DN440" s="384"/>
      <c r="DO440" s="384"/>
      <c r="DP440" s="384"/>
      <c r="DQ440" s="384"/>
      <c r="DR440" s="384"/>
      <c r="DS440" s="384"/>
      <c r="DT440" s="384"/>
      <c r="DU440" s="384"/>
      <c r="DV440" s="384"/>
      <c r="DW440" s="384"/>
      <c r="DX440" s="384"/>
      <c r="DY440" s="384"/>
      <c r="DZ440" s="384"/>
    </row>
    <row r="441" spans="1:130" ht="77.25" hidden="1" customHeight="1" outlineLevel="2">
      <c r="A441" s="412"/>
      <c r="B441" s="412" t="s">
        <v>53</v>
      </c>
      <c r="C441" s="412" t="s">
        <v>520</v>
      </c>
      <c r="D441" s="401"/>
      <c r="E441" s="490"/>
      <c r="F441" s="400"/>
      <c r="G441" s="396"/>
      <c r="H441" s="401" t="s">
        <v>938</v>
      </c>
      <c r="I441" s="385" t="s">
        <v>877</v>
      </c>
      <c r="J441" s="489"/>
      <c r="K441" s="412"/>
      <c r="L441" s="412"/>
      <c r="M441" s="490" t="s">
        <v>813</v>
      </c>
      <c r="N441" s="490">
        <v>6</v>
      </c>
    </row>
    <row r="442" spans="1:130" hidden="1" outlineLevel="2">
      <c r="A442" s="412"/>
      <c r="B442" s="412" t="s">
        <v>53</v>
      </c>
      <c r="C442" s="412" t="s">
        <v>520</v>
      </c>
      <c r="D442" s="401"/>
      <c r="E442" s="490"/>
      <c r="F442" s="400"/>
      <c r="G442" s="396"/>
      <c r="H442" s="401"/>
      <c r="I442" s="385" t="s">
        <v>1027</v>
      </c>
      <c r="J442" s="489"/>
      <c r="K442" s="412"/>
      <c r="L442" s="412"/>
      <c r="M442" s="490" t="s">
        <v>813</v>
      </c>
      <c r="N442" s="490">
        <v>4</v>
      </c>
    </row>
    <row r="443" spans="1:130" ht="97.5" hidden="1" customHeight="1" outlineLevel="2">
      <c r="A443" s="412"/>
      <c r="B443" s="412" t="s">
        <v>53</v>
      </c>
      <c r="C443" s="412" t="s">
        <v>520</v>
      </c>
      <c r="D443" s="401"/>
      <c r="E443" s="490"/>
      <c r="F443" s="400"/>
      <c r="G443" s="396"/>
      <c r="H443" s="401" t="s">
        <v>939</v>
      </c>
      <c r="I443" s="385" t="s">
        <v>42</v>
      </c>
      <c r="J443" s="489"/>
      <c r="K443" s="412"/>
      <c r="L443" s="412"/>
      <c r="M443" s="490" t="s">
        <v>916</v>
      </c>
      <c r="N443" s="490">
        <v>2</v>
      </c>
    </row>
    <row r="444" spans="1:130" hidden="1" outlineLevel="2">
      <c r="A444" s="412"/>
      <c r="B444" s="412" t="s">
        <v>53</v>
      </c>
      <c r="C444" s="412" t="s">
        <v>520</v>
      </c>
      <c r="D444" s="401"/>
      <c r="E444" s="490"/>
      <c r="F444" s="400"/>
      <c r="G444" s="400"/>
      <c r="H444" s="401" t="s">
        <v>940</v>
      </c>
      <c r="I444" s="385" t="s">
        <v>912</v>
      </c>
      <c r="J444" s="489"/>
      <c r="K444" s="412"/>
      <c r="L444" s="412"/>
      <c r="M444" s="490" t="s">
        <v>308</v>
      </c>
      <c r="N444" s="490">
        <v>0.17199999999999999</v>
      </c>
    </row>
    <row r="445" spans="1:130" hidden="1" outlineLevel="2">
      <c r="A445" s="412"/>
      <c r="B445" s="412" t="s">
        <v>53</v>
      </c>
      <c r="C445" s="412" t="s">
        <v>520</v>
      </c>
      <c r="D445" s="401"/>
      <c r="E445" s="490"/>
      <c r="F445" s="400"/>
      <c r="G445" s="400"/>
      <c r="H445" s="401" t="s">
        <v>940</v>
      </c>
      <c r="I445" s="385" t="s">
        <v>914</v>
      </c>
      <c r="J445" s="489"/>
      <c r="K445" s="412"/>
      <c r="L445" s="412"/>
      <c r="M445" s="490" t="s">
        <v>308</v>
      </c>
      <c r="N445" s="490">
        <v>0.17199999999999999</v>
      </c>
    </row>
    <row r="446" spans="1:130" s="411" customFormat="1" ht="88.5" customHeight="1" outlineLevel="1" collapsed="1">
      <c r="A446" s="412" t="s">
        <v>1311</v>
      </c>
      <c r="B446" s="490" t="s">
        <v>301</v>
      </c>
      <c r="C446" s="398" t="s">
        <v>578</v>
      </c>
      <c r="D446" s="399" t="s">
        <v>391</v>
      </c>
      <c r="E446" s="490" t="s">
        <v>941</v>
      </c>
      <c r="F446" s="385" t="s">
        <v>1216</v>
      </c>
      <c r="G446" s="385" t="s">
        <v>1213</v>
      </c>
      <c r="H446" s="401" t="s">
        <v>942</v>
      </c>
      <c r="I446" s="385" t="str">
        <f>CONCATENATE(I447," ",N447,M447," ",I448," ",N448,M448," ",I449,N449," ",M449," ",I450," ",N450,M450,)</f>
        <v>замена опор 2шт Замена ответвлений к зданиям 3отв. демонтаж провода (по трассе)0,16 км монтаж провода (по трассе) 0,16км</v>
      </c>
      <c r="J446" s="385" t="s">
        <v>365</v>
      </c>
      <c r="K446" s="450">
        <v>44348</v>
      </c>
      <c r="L446" s="450">
        <v>44377</v>
      </c>
      <c r="M446" s="490"/>
      <c r="N446" s="490"/>
      <c r="O446" s="384"/>
      <c r="P446" s="384"/>
      <c r="Q446" s="384"/>
      <c r="R446" s="384"/>
      <c r="S446" s="384"/>
      <c r="T446" s="384"/>
      <c r="U446" s="384"/>
      <c r="V446" s="384"/>
      <c r="W446" s="384"/>
      <c r="X446" s="384"/>
      <c r="Y446" s="384"/>
      <c r="Z446" s="384"/>
      <c r="AA446" s="384"/>
      <c r="AB446" s="384"/>
      <c r="AC446" s="384"/>
      <c r="AD446" s="384"/>
      <c r="AE446" s="384"/>
      <c r="AF446" s="384"/>
      <c r="AG446" s="384"/>
      <c r="AH446" s="384"/>
      <c r="AI446" s="384"/>
      <c r="AJ446" s="384"/>
      <c r="AK446" s="384"/>
      <c r="AL446" s="384"/>
      <c r="AM446" s="384"/>
      <c r="AN446" s="384"/>
      <c r="AO446" s="384"/>
      <c r="AP446" s="384"/>
      <c r="AQ446" s="384"/>
      <c r="AR446" s="384"/>
      <c r="AS446" s="384"/>
      <c r="AT446" s="384"/>
      <c r="AU446" s="384"/>
      <c r="AV446" s="384"/>
      <c r="AW446" s="384"/>
      <c r="AX446" s="384"/>
      <c r="AY446" s="384"/>
      <c r="AZ446" s="384"/>
      <c r="BA446" s="384"/>
      <c r="BB446" s="384"/>
      <c r="BC446" s="384"/>
      <c r="BD446" s="384"/>
      <c r="BE446" s="384"/>
      <c r="BF446" s="384"/>
      <c r="BG446" s="384"/>
      <c r="BH446" s="384"/>
      <c r="BI446" s="384"/>
      <c r="BJ446" s="384"/>
      <c r="BK446" s="384"/>
      <c r="BL446" s="384"/>
      <c r="BM446" s="384"/>
      <c r="BN446" s="384"/>
      <c r="BO446" s="384"/>
      <c r="BP446" s="384"/>
      <c r="BQ446" s="384"/>
      <c r="BR446" s="384"/>
      <c r="BS446" s="384"/>
      <c r="BT446" s="384"/>
      <c r="BU446" s="384"/>
      <c r="BV446" s="384"/>
      <c r="BW446" s="384"/>
      <c r="BX446" s="384"/>
      <c r="BY446" s="384"/>
      <c r="BZ446" s="384"/>
      <c r="CA446" s="384"/>
      <c r="CB446" s="384"/>
      <c r="CC446" s="384"/>
      <c r="CD446" s="384"/>
      <c r="CE446" s="384"/>
      <c r="CF446" s="384"/>
      <c r="CG446" s="384"/>
      <c r="CH446" s="384"/>
      <c r="CI446" s="384"/>
      <c r="CJ446" s="384"/>
      <c r="CK446" s="384"/>
      <c r="CL446" s="384"/>
      <c r="CM446" s="384"/>
      <c r="CN446" s="384"/>
      <c r="CO446" s="384"/>
      <c r="CP446" s="384"/>
      <c r="CQ446" s="384"/>
      <c r="CR446" s="384"/>
      <c r="CS446" s="384"/>
      <c r="CT446" s="384"/>
      <c r="CU446" s="384"/>
      <c r="CV446" s="384"/>
      <c r="CW446" s="384"/>
      <c r="CX446" s="384"/>
      <c r="CY446" s="384"/>
      <c r="CZ446" s="384"/>
      <c r="DA446" s="384"/>
      <c r="DB446" s="384"/>
      <c r="DC446" s="384"/>
      <c r="DD446" s="384"/>
      <c r="DE446" s="384"/>
      <c r="DF446" s="384"/>
      <c r="DG446" s="384"/>
      <c r="DH446" s="384"/>
      <c r="DI446" s="384"/>
      <c r="DJ446" s="384"/>
      <c r="DK446" s="384"/>
      <c r="DL446" s="384"/>
      <c r="DM446" s="384"/>
      <c r="DN446" s="384"/>
      <c r="DO446" s="384"/>
      <c r="DP446" s="384"/>
      <c r="DQ446" s="384"/>
      <c r="DR446" s="384"/>
      <c r="DS446" s="384"/>
      <c r="DT446" s="384"/>
      <c r="DU446" s="384"/>
      <c r="DV446" s="384"/>
      <c r="DW446" s="384"/>
      <c r="DX446" s="384"/>
      <c r="DY446" s="384"/>
      <c r="DZ446" s="384"/>
    </row>
    <row r="447" spans="1:130" hidden="1" outlineLevel="2">
      <c r="A447" s="412"/>
      <c r="B447" s="412" t="s">
        <v>53</v>
      </c>
      <c r="C447" s="412" t="s">
        <v>578</v>
      </c>
      <c r="D447" s="401"/>
      <c r="E447" s="385"/>
      <c r="F447" s="400"/>
      <c r="G447" s="396"/>
      <c r="H447" s="401" t="s">
        <v>943</v>
      </c>
      <c r="I447" s="385" t="s">
        <v>877</v>
      </c>
      <c r="J447" s="489"/>
      <c r="K447" s="412"/>
      <c r="L447" s="412"/>
      <c r="M447" s="490" t="s">
        <v>813</v>
      </c>
      <c r="N447" s="490">
        <v>2</v>
      </c>
    </row>
    <row r="448" spans="1:130" ht="97.5" hidden="1" customHeight="1" outlineLevel="2">
      <c r="A448" s="412"/>
      <c r="B448" s="412" t="s">
        <v>53</v>
      </c>
      <c r="C448" s="412" t="s">
        <v>578</v>
      </c>
      <c r="D448" s="401"/>
      <c r="E448" s="385"/>
      <c r="F448" s="400"/>
      <c r="G448" s="396"/>
      <c r="H448" s="401" t="s">
        <v>944</v>
      </c>
      <c r="I448" s="385" t="s">
        <v>42</v>
      </c>
      <c r="J448" s="489"/>
      <c r="K448" s="412"/>
      <c r="L448" s="412"/>
      <c r="M448" s="490" t="s">
        <v>916</v>
      </c>
      <c r="N448" s="490">
        <v>3</v>
      </c>
    </row>
    <row r="449" spans="1:14" hidden="1" outlineLevel="2">
      <c r="A449" s="412"/>
      <c r="B449" s="412" t="s">
        <v>53</v>
      </c>
      <c r="C449" s="412" t="s">
        <v>578</v>
      </c>
      <c r="D449" s="401"/>
      <c r="E449" s="385"/>
      <c r="F449" s="400"/>
      <c r="G449" s="400"/>
      <c r="H449" s="401" t="s">
        <v>945</v>
      </c>
      <c r="I449" s="385" t="s">
        <v>912</v>
      </c>
      <c r="J449" s="489"/>
      <c r="K449" s="412"/>
      <c r="L449" s="412"/>
      <c r="M449" s="490" t="s">
        <v>308</v>
      </c>
      <c r="N449" s="490">
        <v>0.16</v>
      </c>
    </row>
    <row r="450" spans="1:14" hidden="1" outlineLevel="2">
      <c r="A450" s="412"/>
      <c r="B450" s="412" t="s">
        <v>53</v>
      </c>
      <c r="C450" s="412" t="s">
        <v>578</v>
      </c>
      <c r="D450" s="401"/>
      <c r="E450" s="385"/>
      <c r="F450" s="400"/>
      <c r="G450" s="400"/>
      <c r="H450" s="401" t="s">
        <v>945</v>
      </c>
      <c r="I450" s="385" t="s">
        <v>914</v>
      </c>
      <c r="J450" s="489"/>
      <c r="K450" s="412"/>
      <c r="L450" s="412"/>
      <c r="M450" s="490" t="s">
        <v>308</v>
      </c>
      <c r="N450" s="490">
        <v>0.16</v>
      </c>
    </row>
    <row r="451" spans="1:14" s="384" customFormat="1" ht="81" outlineLevel="1" collapsed="1">
      <c r="A451" s="412" t="s">
        <v>1312</v>
      </c>
      <c r="B451" s="490" t="s">
        <v>53</v>
      </c>
      <c r="C451" s="398" t="s">
        <v>607</v>
      </c>
      <c r="D451" s="399" t="s">
        <v>391</v>
      </c>
      <c r="E451" s="399" t="s">
        <v>1015</v>
      </c>
      <c r="F451" s="385" t="s">
        <v>1216</v>
      </c>
      <c r="G451" s="385" t="s">
        <v>1213</v>
      </c>
      <c r="H451" s="401" t="s">
        <v>1700</v>
      </c>
      <c r="I451" s="385" t="s">
        <v>1705</v>
      </c>
      <c r="J451" s="385" t="s">
        <v>365</v>
      </c>
      <c r="K451" s="450">
        <v>44317</v>
      </c>
      <c r="L451" s="450">
        <v>44408</v>
      </c>
      <c r="M451" s="490"/>
      <c r="N451" s="490"/>
    </row>
    <row r="452" spans="1:14" ht="162" hidden="1" outlineLevel="2">
      <c r="A452" s="563"/>
      <c r="B452" s="412" t="s">
        <v>53</v>
      </c>
      <c r="C452" s="412" t="s">
        <v>607</v>
      </c>
      <c r="D452" s="401" t="s">
        <v>391</v>
      </c>
      <c r="E452" s="385"/>
      <c r="F452" s="400"/>
      <c r="G452" s="396"/>
      <c r="H452" s="401" t="s">
        <v>1701</v>
      </c>
      <c r="I452" s="385" t="s">
        <v>932</v>
      </c>
      <c r="J452" s="489"/>
      <c r="K452" s="412"/>
      <c r="L452" s="412"/>
      <c r="M452" s="490" t="s">
        <v>813</v>
      </c>
      <c r="N452" s="490">
        <v>71</v>
      </c>
    </row>
    <row r="453" spans="1:14" ht="141.75" hidden="1" outlineLevel="2">
      <c r="A453" s="564"/>
      <c r="B453" s="412" t="s">
        <v>53</v>
      </c>
      <c r="C453" s="412" t="s">
        <v>607</v>
      </c>
      <c r="D453" s="401" t="s">
        <v>391</v>
      </c>
      <c r="E453" s="385"/>
      <c r="F453" s="400"/>
      <c r="G453" s="396"/>
      <c r="H453" s="401" t="s">
        <v>1702</v>
      </c>
      <c r="I453" s="385" t="s">
        <v>1005</v>
      </c>
      <c r="J453" s="489"/>
      <c r="K453" s="412"/>
      <c r="L453" s="412"/>
      <c r="M453" s="490" t="s">
        <v>813</v>
      </c>
      <c r="N453" s="490">
        <v>67</v>
      </c>
    </row>
    <row r="454" spans="1:14" ht="162" hidden="1" outlineLevel="2">
      <c r="A454" s="564"/>
      <c r="B454" s="412" t="s">
        <v>53</v>
      </c>
      <c r="C454" s="412" t="s">
        <v>607</v>
      </c>
      <c r="D454" s="401" t="s">
        <v>391</v>
      </c>
      <c r="E454" s="385"/>
      <c r="F454" s="400"/>
      <c r="G454" s="396"/>
      <c r="H454" s="401" t="s">
        <v>1703</v>
      </c>
      <c r="I454" s="385" t="s">
        <v>912</v>
      </c>
      <c r="J454" s="489"/>
      <c r="K454" s="412"/>
      <c r="L454" s="412"/>
      <c r="M454" s="490" t="s">
        <v>308</v>
      </c>
      <c r="N454" s="490">
        <v>4.32</v>
      </c>
    </row>
    <row r="455" spans="1:14" ht="202.5" hidden="1" outlineLevel="2">
      <c r="A455" s="564"/>
      <c r="B455" s="412" t="s">
        <v>53</v>
      </c>
      <c r="C455" s="412" t="s">
        <v>607</v>
      </c>
      <c r="D455" s="401" t="s">
        <v>391</v>
      </c>
      <c r="E455" s="385"/>
      <c r="F455" s="400"/>
      <c r="G455" s="396"/>
      <c r="H455" s="401" t="s">
        <v>1704</v>
      </c>
      <c r="I455" s="385" t="s">
        <v>914</v>
      </c>
      <c r="J455" s="489"/>
      <c r="K455" s="412"/>
      <c r="L455" s="412"/>
      <c r="M455" s="490" t="s">
        <v>308</v>
      </c>
      <c r="N455" s="490">
        <v>4.8209999999999997</v>
      </c>
    </row>
    <row r="456" spans="1:14" hidden="1" outlineLevel="2">
      <c r="A456" s="564"/>
      <c r="B456" s="412" t="s">
        <v>53</v>
      </c>
      <c r="C456" s="412" t="s">
        <v>607</v>
      </c>
      <c r="D456" s="401" t="s">
        <v>391</v>
      </c>
      <c r="E456" s="385"/>
      <c r="F456" s="400"/>
      <c r="G456" s="400"/>
      <c r="H456" s="401"/>
      <c r="I456" s="385" t="s">
        <v>1016</v>
      </c>
      <c r="J456" s="489"/>
      <c r="K456" s="412"/>
      <c r="L456" s="412"/>
      <c r="M456" s="490" t="s">
        <v>813</v>
      </c>
      <c r="N456" s="490">
        <v>18</v>
      </c>
    </row>
    <row r="457" spans="1:14" hidden="1" outlineLevel="2">
      <c r="A457" s="565"/>
      <c r="B457" s="412" t="s">
        <v>53</v>
      </c>
      <c r="C457" s="412" t="s">
        <v>607</v>
      </c>
      <c r="D457" s="401" t="s">
        <v>391</v>
      </c>
      <c r="E457" s="385"/>
      <c r="F457" s="400"/>
      <c r="G457" s="400"/>
      <c r="H457" s="401"/>
      <c r="I457" s="385" t="s">
        <v>1017</v>
      </c>
      <c r="J457" s="489"/>
      <c r="K457" s="412"/>
      <c r="L457" s="412"/>
      <c r="M457" s="490" t="s">
        <v>813</v>
      </c>
      <c r="N457" s="490">
        <v>18</v>
      </c>
    </row>
    <row r="458" spans="1:14" s="384" customFormat="1" ht="111" customHeight="1" outlineLevel="1" collapsed="1">
      <c r="A458" s="412" t="s">
        <v>1313</v>
      </c>
      <c r="B458" s="490" t="s">
        <v>53</v>
      </c>
      <c r="C458" s="398" t="s">
        <v>408</v>
      </c>
      <c r="D458" s="399" t="s">
        <v>391</v>
      </c>
      <c r="E458" s="399" t="s">
        <v>1503</v>
      </c>
      <c r="F458" s="385" t="s">
        <v>303</v>
      </c>
      <c r="G458" s="385"/>
      <c r="H458" s="401" t="s">
        <v>1018</v>
      </c>
      <c r="I458" s="385" t="s">
        <v>1019</v>
      </c>
      <c r="J458" s="385" t="s">
        <v>365</v>
      </c>
      <c r="K458" s="450">
        <v>44348</v>
      </c>
      <c r="L458" s="450">
        <v>44408</v>
      </c>
      <c r="M458" s="490"/>
      <c r="N458" s="490"/>
    </row>
    <row r="459" spans="1:14" ht="141.75" hidden="1" outlineLevel="2">
      <c r="A459" s="563"/>
      <c r="B459" s="412" t="s">
        <v>53</v>
      </c>
      <c r="C459" s="412" t="s">
        <v>408</v>
      </c>
      <c r="D459" s="401" t="s">
        <v>391</v>
      </c>
      <c r="E459" s="385"/>
      <c r="F459" s="400"/>
      <c r="G459" s="396"/>
      <c r="H459" s="401" t="s">
        <v>1020</v>
      </c>
      <c r="I459" s="385" t="s">
        <v>932</v>
      </c>
      <c r="J459" s="489"/>
      <c r="K459" s="412"/>
      <c r="L459" s="412"/>
      <c r="M459" s="490" t="s">
        <v>813</v>
      </c>
      <c r="N459" s="490">
        <f>42+6</f>
        <v>48</v>
      </c>
    </row>
    <row r="460" spans="1:14" ht="202.5" hidden="1" outlineLevel="2">
      <c r="A460" s="564"/>
      <c r="B460" s="412" t="s">
        <v>53</v>
      </c>
      <c r="C460" s="412" t="s">
        <v>408</v>
      </c>
      <c r="D460" s="401" t="s">
        <v>391</v>
      </c>
      <c r="E460" s="385"/>
      <c r="F460" s="400"/>
      <c r="G460" s="396"/>
      <c r="H460" s="401" t="s">
        <v>1021</v>
      </c>
      <c r="I460" s="385" t="s">
        <v>1005</v>
      </c>
      <c r="J460" s="489"/>
      <c r="K460" s="412"/>
      <c r="L460" s="412"/>
      <c r="M460" s="490" t="s">
        <v>813</v>
      </c>
      <c r="N460" s="490">
        <f>53+7</f>
        <v>60</v>
      </c>
    </row>
    <row r="461" spans="1:14" ht="141.75" hidden="1" outlineLevel="2">
      <c r="A461" s="564"/>
      <c r="B461" s="412" t="s">
        <v>53</v>
      </c>
      <c r="C461" s="412" t="s">
        <v>408</v>
      </c>
      <c r="D461" s="401" t="s">
        <v>391</v>
      </c>
      <c r="E461" s="385"/>
      <c r="F461" s="400"/>
      <c r="G461" s="396"/>
      <c r="H461" s="401" t="s">
        <v>1022</v>
      </c>
      <c r="I461" s="385" t="s">
        <v>912</v>
      </c>
      <c r="J461" s="489"/>
      <c r="K461" s="412"/>
      <c r="L461" s="412"/>
      <c r="M461" s="490" t="s">
        <v>308</v>
      </c>
      <c r="N461" s="490">
        <f>0.64+1.36+0.015+0.118+0.017+0.263+0.403</f>
        <v>2.8159999999999998</v>
      </c>
    </row>
    <row r="462" spans="1:14" ht="198" hidden="1" customHeight="1" outlineLevel="2">
      <c r="A462" s="564"/>
      <c r="B462" s="412" t="s">
        <v>53</v>
      </c>
      <c r="C462" s="412" t="s">
        <v>408</v>
      </c>
      <c r="D462" s="401" t="s">
        <v>391</v>
      </c>
      <c r="E462" s="385"/>
      <c r="F462" s="400"/>
      <c r="G462" s="396"/>
      <c r="H462" s="401" t="s">
        <v>1023</v>
      </c>
      <c r="I462" s="385" t="s">
        <v>914</v>
      </c>
      <c r="J462" s="489"/>
      <c r="K462" s="412"/>
      <c r="L462" s="412"/>
      <c r="M462" s="490" t="s">
        <v>308</v>
      </c>
      <c r="N462" s="490">
        <f>0.69+2.18</f>
        <v>2.87</v>
      </c>
    </row>
    <row r="463" spans="1:14" ht="162" hidden="1" outlineLevel="2">
      <c r="A463" s="564"/>
      <c r="B463" s="412" t="s">
        <v>53</v>
      </c>
      <c r="C463" s="412" t="s">
        <v>408</v>
      </c>
      <c r="D463" s="401" t="s">
        <v>391</v>
      </c>
      <c r="E463" s="385"/>
      <c r="F463" s="400"/>
      <c r="G463" s="400"/>
      <c r="H463" s="401" t="s">
        <v>1024</v>
      </c>
      <c r="I463" s="385" t="s">
        <v>1016</v>
      </c>
      <c r="J463" s="489"/>
      <c r="K463" s="412"/>
      <c r="L463" s="412"/>
      <c r="M463" s="490" t="s">
        <v>813</v>
      </c>
      <c r="N463" s="490">
        <f>26+20+3+2+1</f>
        <v>52</v>
      </c>
    </row>
    <row r="464" spans="1:14" ht="182.25" hidden="1" outlineLevel="2">
      <c r="A464" s="564"/>
      <c r="B464" s="412" t="s">
        <v>53</v>
      </c>
      <c r="C464" s="412" t="s">
        <v>408</v>
      </c>
      <c r="D464" s="401" t="s">
        <v>391</v>
      </c>
      <c r="E464" s="385"/>
      <c r="F464" s="400"/>
      <c r="G464" s="400"/>
      <c r="H464" s="401" t="s">
        <v>1025</v>
      </c>
      <c r="I464" s="385" t="s">
        <v>1017</v>
      </c>
      <c r="J464" s="489"/>
      <c r="K464" s="412"/>
      <c r="L464" s="412"/>
      <c r="M464" s="490" t="s">
        <v>813</v>
      </c>
      <c r="N464" s="490">
        <f>26+21+3+2+1</f>
        <v>53</v>
      </c>
    </row>
    <row r="465" spans="1:14" hidden="1" outlineLevel="2">
      <c r="A465" s="564"/>
      <c r="B465" s="412" t="s">
        <v>53</v>
      </c>
      <c r="C465" s="412" t="s">
        <v>408</v>
      </c>
      <c r="D465" s="401" t="s">
        <v>391</v>
      </c>
      <c r="E465" s="385"/>
      <c r="F465" s="400"/>
      <c r="G465" s="400"/>
      <c r="H465" s="401"/>
      <c r="I465" s="385" t="s">
        <v>840</v>
      </c>
      <c r="J465" s="489"/>
      <c r="K465" s="412"/>
      <c r="L465" s="412"/>
      <c r="M465" s="490" t="s">
        <v>813</v>
      </c>
      <c r="N465" s="490">
        <v>14</v>
      </c>
    </row>
    <row r="466" spans="1:14" hidden="1" outlineLevel="2">
      <c r="A466" s="564"/>
      <c r="B466" s="412" t="s">
        <v>53</v>
      </c>
      <c r="C466" s="412" t="s">
        <v>408</v>
      </c>
      <c r="D466" s="401" t="s">
        <v>391</v>
      </c>
      <c r="E466" s="385"/>
      <c r="F466" s="400"/>
      <c r="G466" s="400"/>
      <c r="H466" s="401"/>
      <c r="I466" s="385" t="s">
        <v>971</v>
      </c>
      <c r="J466" s="489"/>
      <c r="K466" s="412"/>
      <c r="L466" s="412"/>
      <c r="M466" s="490" t="s">
        <v>813</v>
      </c>
      <c r="N466" s="490">
        <v>18</v>
      </c>
    </row>
    <row r="467" spans="1:14" hidden="1" outlineLevel="2">
      <c r="A467" s="565"/>
      <c r="B467" s="412" t="s">
        <v>53</v>
      </c>
      <c r="C467" s="412" t="s">
        <v>408</v>
      </c>
      <c r="D467" s="401" t="s">
        <v>391</v>
      </c>
      <c r="E467" s="385"/>
      <c r="F467" s="400"/>
      <c r="G467" s="400"/>
      <c r="H467" s="401" t="s">
        <v>1026</v>
      </c>
      <c r="I467" s="385" t="s">
        <v>1027</v>
      </c>
      <c r="J467" s="489"/>
      <c r="K467" s="412"/>
      <c r="L467" s="412"/>
      <c r="M467" s="490" t="s">
        <v>813</v>
      </c>
      <c r="N467" s="490">
        <v>2</v>
      </c>
    </row>
    <row r="468" spans="1:14" s="384" customFormat="1" ht="86.25" customHeight="1" outlineLevel="1" collapsed="1">
      <c r="A468" s="412" t="s">
        <v>1314</v>
      </c>
      <c r="B468" s="490" t="s">
        <v>53</v>
      </c>
      <c r="C468" s="398" t="s">
        <v>578</v>
      </c>
      <c r="D468" s="399" t="s">
        <v>391</v>
      </c>
      <c r="E468" s="399" t="s">
        <v>1028</v>
      </c>
      <c r="F468" s="385" t="s">
        <v>303</v>
      </c>
      <c r="G468" s="385"/>
      <c r="H468" s="401" t="s">
        <v>1617</v>
      </c>
      <c r="I468" s="385" t="s">
        <v>1029</v>
      </c>
      <c r="J468" s="385" t="s">
        <v>365</v>
      </c>
      <c r="K468" s="450">
        <v>44378</v>
      </c>
      <c r="L468" s="450">
        <v>44439</v>
      </c>
      <c r="M468" s="490"/>
      <c r="N468" s="490"/>
    </row>
    <row r="469" spans="1:14" ht="60.75" hidden="1" outlineLevel="2">
      <c r="A469" s="563"/>
      <c r="B469" s="412" t="s">
        <v>53</v>
      </c>
      <c r="C469" s="412" t="s">
        <v>578</v>
      </c>
      <c r="D469" s="401" t="s">
        <v>391</v>
      </c>
      <c r="E469" s="385"/>
      <c r="F469" s="400"/>
      <c r="G469" s="396"/>
      <c r="H469" s="401" t="s">
        <v>1030</v>
      </c>
      <c r="I469" s="385" t="s">
        <v>932</v>
      </c>
      <c r="J469" s="489"/>
      <c r="K469" s="412"/>
      <c r="L469" s="412"/>
      <c r="M469" s="490" t="s">
        <v>813</v>
      </c>
      <c r="N469" s="490">
        <f>20+3+1</f>
        <v>24</v>
      </c>
    </row>
    <row r="470" spans="1:14" ht="40.5" hidden="1" outlineLevel="2">
      <c r="A470" s="564"/>
      <c r="B470" s="412" t="s">
        <v>53</v>
      </c>
      <c r="C470" s="412" t="s">
        <v>578</v>
      </c>
      <c r="D470" s="401" t="s">
        <v>391</v>
      </c>
      <c r="E470" s="385"/>
      <c r="F470" s="400"/>
      <c r="G470" s="396"/>
      <c r="H470" s="401" t="s">
        <v>1031</v>
      </c>
      <c r="I470" s="385" t="s">
        <v>1005</v>
      </c>
      <c r="J470" s="489"/>
      <c r="K470" s="412"/>
      <c r="L470" s="412"/>
      <c r="M470" s="490" t="s">
        <v>813</v>
      </c>
      <c r="N470" s="490">
        <f>1+8+3+11+2</f>
        <v>25</v>
      </c>
    </row>
    <row r="471" spans="1:14" hidden="1" outlineLevel="2">
      <c r="A471" s="564"/>
      <c r="B471" s="412" t="s">
        <v>53</v>
      </c>
      <c r="C471" s="412" t="s">
        <v>578</v>
      </c>
      <c r="D471" s="401" t="s">
        <v>391</v>
      </c>
      <c r="E471" s="385"/>
      <c r="F471" s="400"/>
      <c r="G471" s="396"/>
      <c r="H471" s="401" t="s">
        <v>1032</v>
      </c>
      <c r="I471" s="385" t="s">
        <v>1033</v>
      </c>
      <c r="J471" s="489"/>
      <c r="K471" s="412"/>
      <c r="L471" s="412"/>
      <c r="M471" s="490" t="s">
        <v>308</v>
      </c>
      <c r="N471" s="490">
        <v>3.5000000000000003E-2</v>
      </c>
    </row>
    <row r="472" spans="1:14" ht="40.5" hidden="1" outlineLevel="2">
      <c r="A472" s="564"/>
      <c r="B472" s="412" t="s">
        <v>53</v>
      </c>
      <c r="C472" s="412" t="s">
        <v>578</v>
      </c>
      <c r="D472" s="401" t="s">
        <v>391</v>
      </c>
      <c r="E472" s="385"/>
      <c r="F472" s="400"/>
      <c r="G472" s="396"/>
      <c r="H472" s="401" t="s">
        <v>1034</v>
      </c>
      <c r="I472" s="385" t="s">
        <v>912</v>
      </c>
      <c r="J472" s="489"/>
      <c r="K472" s="412"/>
      <c r="L472" s="412"/>
      <c r="M472" s="490" t="s">
        <v>308</v>
      </c>
      <c r="N472" s="490">
        <f>1</f>
        <v>1</v>
      </c>
    </row>
    <row r="473" spans="1:14" ht="40.5" hidden="1" outlineLevel="2">
      <c r="A473" s="564"/>
      <c r="B473" s="412" t="s">
        <v>53</v>
      </c>
      <c r="C473" s="412" t="s">
        <v>578</v>
      </c>
      <c r="D473" s="401" t="s">
        <v>391</v>
      </c>
      <c r="E473" s="385"/>
      <c r="F473" s="400"/>
      <c r="G473" s="396"/>
      <c r="H473" s="401" t="s">
        <v>1035</v>
      </c>
      <c r="I473" s="385" t="s">
        <v>914</v>
      </c>
      <c r="J473" s="489"/>
      <c r="K473" s="412"/>
      <c r="L473" s="412"/>
      <c r="M473" s="490" t="s">
        <v>308</v>
      </c>
      <c r="N473" s="490">
        <f>0.9+0.04</f>
        <v>0.94000000000000006</v>
      </c>
    </row>
    <row r="474" spans="1:14" ht="40.5" hidden="1" outlineLevel="2">
      <c r="A474" s="564"/>
      <c r="B474" s="412" t="s">
        <v>53</v>
      </c>
      <c r="C474" s="412" t="s">
        <v>578</v>
      </c>
      <c r="D474" s="401" t="s">
        <v>391</v>
      </c>
      <c r="E474" s="385"/>
      <c r="F474" s="400"/>
      <c r="G474" s="400"/>
      <c r="H474" s="401" t="s">
        <v>1036</v>
      </c>
      <c r="I474" s="385" t="s">
        <v>1016</v>
      </c>
      <c r="J474" s="489"/>
      <c r="K474" s="412"/>
      <c r="L474" s="412"/>
      <c r="M474" s="490" t="s">
        <v>813</v>
      </c>
      <c r="N474" s="490">
        <v>23</v>
      </c>
    </row>
    <row r="475" spans="1:14" ht="81" hidden="1" outlineLevel="2">
      <c r="A475" s="565"/>
      <c r="B475" s="412" t="s">
        <v>53</v>
      </c>
      <c r="C475" s="412" t="s">
        <v>578</v>
      </c>
      <c r="D475" s="401" t="s">
        <v>391</v>
      </c>
      <c r="E475" s="385"/>
      <c r="F475" s="400"/>
      <c r="G475" s="400"/>
      <c r="H475" s="401" t="s">
        <v>1037</v>
      </c>
      <c r="I475" s="385" t="s">
        <v>1017</v>
      </c>
      <c r="J475" s="489"/>
      <c r="K475" s="412"/>
      <c r="L475" s="412"/>
      <c r="M475" s="490" t="s">
        <v>813</v>
      </c>
      <c r="N475" s="490">
        <v>36</v>
      </c>
    </row>
    <row r="476" spans="1:14" s="384" customFormat="1" ht="81" outlineLevel="1" collapsed="1">
      <c r="A476" s="412" t="s">
        <v>1315</v>
      </c>
      <c r="B476" s="490" t="s">
        <v>53</v>
      </c>
      <c r="C476" s="398" t="s">
        <v>578</v>
      </c>
      <c r="D476" s="399" t="s">
        <v>391</v>
      </c>
      <c r="E476" s="399" t="s">
        <v>1038</v>
      </c>
      <c r="F476" s="385" t="s">
        <v>1216</v>
      </c>
      <c r="G476" s="385" t="s">
        <v>1213</v>
      </c>
      <c r="H476" s="401" t="s">
        <v>1039</v>
      </c>
      <c r="I476" s="385" t="s">
        <v>1040</v>
      </c>
      <c r="J476" s="385" t="s">
        <v>365</v>
      </c>
      <c r="K476" s="450">
        <v>44409</v>
      </c>
      <c r="L476" s="450">
        <v>44469</v>
      </c>
      <c r="M476" s="490"/>
      <c r="N476" s="490"/>
    </row>
    <row r="477" spans="1:14" ht="40.5" hidden="1" outlineLevel="2">
      <c r="A477" s="563"/>
      <c r="B477" s="412" t="s">
        <v>53</v>
      </c>
      <c r="C477" s="412" t="s">
        <v>578</v>
      </c>
      <c r="D477" s="401" t="s">
        <v>391</v>
      </c>
      <c r="E477" s="385"/>
      <c r="F477" s="400"/>
      <c r="G477" s="396"/>
      <c r="H477" s="401" t="s">
        <v>1041</v>
      </c>
      <c r="I477" s="385" t="s">
        <v>932</v>
      </c>
      <c r="J477" s="489"/>
      <c r="K477" s="412"/>
      <c r="L477" s="412"/>
      <c r="M477" s="490" t="s">
        <v>813</v>
      </c>
      <c r="N477" s="490">
        <f>2+10+2+6</f>
        <v>20</v>
      </c>
    </row>
    <row r="478" spans="1:14" ht="40.5" hidden="1" outlineLevel="2">
      <c r="A478" s="564"/>
      <c r="B478" s="412" t="s">
        <v>53</v>
      </c>
      <c r="C478" s="412" t="s">
        <v>578</v>
      </c>
      <c r="D478" s="401" t="s">
        <v>391</v>
      </c>
      <c r="E478" s="385"/>
      <c r="F478" s="400"/>
      <c r="G478" s="396"/>
      <c r="H478" s="401" t="s">
        <v>1041</v>
      </c>
      <c r="I478" s="385" t="s">
        <v>1005</v>
      </c>
      <c r="J478" s="489"/>
      <c r="K478" s="412"/>
      <c r="L478" s="412"/>
      <c r="M478" s="490" t="s">
        <v>813</v>
      </c>
      <c r="N478" s="490">
        <v>20</v>
      </c>
    </row>
    <row r="479" spans="1:14" ht="40.5" hidden="1" outlineLevel="2">
      <c r="A479" s="564"/>
      <c r="B479" s="412" t="s">
        <v>53</v>
      </c>
      <c r="C479" s="412" t="s">
        <v>578</v>
      </c>
      <c r="D479" s="401" t="s">
        <v>391</v>
      </c>
      <c r="E479" s="385"/>
      <c r="F479" s="400"/>
      <c r="G479" s="396"/>
      <c r="H479" s="401" t="s">
        <v>1042</v>
      </c>
      <c r="I479" s="385" t="s">
        <v>912</v>
      </c>
      <c r="J479" s="489"/>
      <c r="K479" s="412"/>
      <c r="L479" s="412"/>
      <c r="M479" s="490" t="s">
        <v>308</v>
      </c>
      <c r="N479" s="490">
        <f>0.76+1.12</f>
        <v>1.8800000000000001</v>
      </c>
    </row>
    <row r="480" spans="1:14" ht="40.5" hidden="1" outlineLevel="2">
      <c r="A480" s="564"/>
      <c r="B480" s="412" t="s">
        <v>53</v>
      </c>
      <c r="C480" s="412" t="s">
        <v>578</v>
      </c>
      <c r="D480" s="401" t="s">
        <v>391</v>
      </c>
      <c r="E480" s="385"/>
      <c r="F480" s="400"/>
      <c r="G480" s="396"/>
      <c r="H480" s="401" t="s">
        <v>1042</v>
      </c>
      <c r="I480" s="385" t="s">
        <v>914</v>
      </c>
      <c r="J480" s="489"/>
      <c r="K480" s="412"/>
      <c r="L480" s="412"/>
      <c r="M480" s="490" t="s">
        <v>308</v>
      </c>
      <c r="N480" s="490">
        <f>0.76+1.12</f>
        <v>1.8800000000000001</v>
      </c>
    </row>
    <row r="481" spans="1:130" ht="68.25" hidden="1" customHeight="1" outlineLevel="2">
      <c r="A481" s="564"/>
      <c r="B481" s="412" t="s">
        <v>53</v>
      </c>
      <c r="C481" s="412" t="s">
        <v>578</v>
      </c>
      <c r="D481" s="401" t="s">
        <v>391</v>
      </c>
      <c r="E481" s="385"/>
      <c r="F481" s="400"/>
      <c r="G481" s="396"/>
      <c r="H481" s="401" t="s">
        <v>1043</v>
      </c>
      <c r="I481" s="385" t="s">
        <v>1016</v>
      </c>
      <c r="J481" s="489"/>
      <c r="K481" s="412"/>
      <c r="L481" s="412"/>
      <c r="M481" s="490" t="s">
        <v>813</v>
      </c>
      <c r="N481" s="490">
        <f>17+20</f>
        <v>37</v>
      </c>
    </row>
    <row r="482" spans="1:130" ht="60.75" hidden="1" outlineLevel="2">
      <c r="A482" s="564"/>
      <c r="B482" s="412" t="s">
        <v>53</v>
      </c>
      <c r="C482" s="412" t="s">
        <v>578</v>
      </c>
      <c r="D482" s="401" t="s">
        <v>391</v>
      </c>
      <c r="E482" s="385"/>
      <c r="F482" s="400"/>
      <c r="G482" s="400"/>
      <c r="H482" s="401" t="s">
        <v>1043</v>
      </c>
      <c r="I482" s="385" t="s">
        <v>1017</v>
      </c>
      <c r="J482" s="489"/>
      <c r="K482" s="412"/>
      <c r="L482" s="412"/>
      <c r="M482" s="490" t="s">
        <v>813</v>
      </c>
      <c r="N482" s="490">
        <f>17+20</f>
        <v>37</v>
      </c>
    </row>
    <row r="483" spans="1:130" hidden="1" outlineLevel="2">
      <c r="A483" s="565"/>
      <c r="B483" s="412" t="s">
        <v>53</v>
      </c>
      <c r="C483" s="412" t="s">
        <v>578</v>
      </c>
      <c r="D483" s="401" t="s">
        <v>391</v>
      </c>
      <c r="E483" s="385"/>
      <c r="F483" s="400"/>
      <c r="G483" s="400"/>
      <c r="H483" s="401" t="s">
        <v>1044</v>
      </c>
      <c r="I483" s="385" t="s">
        <v>840</v>
      </c>
      <c r="J483" s="489"/>
      <c r="K483" s="412"/>
      <c r="L483" s="412"/>
      <c r="M483" s="490" t="s">
        <v>813</v>
      </c>
      <c r="N483" s="490">
        <f>6+12</f>
        <v>18</v>
      </c>
    </row>
    <row r="484" spans="1:130" s="384" customFormat="1" ht="60.75" outlineLevel="1" collapsed="1">
      <c r="A484" s="412" t="s">
        <v>1759</v>
      </c>
      <c r="B484" s="490" t="s">
        <v>53</v>
      </c>
      <c r="C484" s="398" t="s">
        <v>607</v>
      </c>
      <c r="D484" s="399" t="s">
        <v>391</v>
      </c>
      <c r="E484" s="399" t="s">
        <v>1045</v>
      </c>
      <c r="F484" s="385" t="s">
        <v>303</v>
      </c>
      <c r="G484" s="385"/>
      <c r="H484" s="401" t="s">
        <v>1046</v>
      </c>
      <c r="I484" s="385" t="s">
        <v>1047</v>
      </c>
      <c r="J484" s="385" t="s">
        <v>365</v>
      </c>
      <c r="K484" s="450">
        <v>44440</v>
      </c>
      <c r="L484" s="450">
        <v>44500</v>
      </c>
      <c r="M484" s="490"/>
      <c r="N484" s="490"/>
    </row>
    <row r="485" spans="1:130" ht="60.75" hidden="1" outlineLevel="2">
      <c r="A485" s="563"/>
      <c r="B485" s="412" t="s">
        <v>53</v>
      </c>
      <c r="C485" s="412" t="s">
        <v>607</v>
      </c>
      <c r="D485" s="401" t="s">
        <v>391</v>
      </c>
      <c r="E485" s="385"/>
      <c r="F485" s="400"/>
      <c r="G485" s="396"/>
      <c r="H485" s="401" t="s">
        <v>1048</v>
      </c>
      <c r="I485" s="385" t="s">
        <v>932</v>
      </c>
      <c r="J485" s="489"/>
      <c r="K485" s="412"/>
      <c r="L485" s="412"/>
      <c r="M485" s="490" t="s">
        <v>813</v>
      </c>
      <c r="N485" s="490">
        <f>18+7+1+1</f>
        <v>27</v>
      </c>
    </row>
    <row r="486" spans="1:130" ht="60.75" hidden="1" outlineLevel="2">
      <c r="A486" s="564"/>
      <c r="B486" s="412" t="s">
        <v>53</v>
      </c>
      <c r="C486" s="412" t="s">
        <v>607</v>
      </c>
      <c r="D486" s="401" t="s">
        <v>391</v>
      </c>
      <c r="E486" s="385"/>
      <c r="F486" s="400"/>
      <c r="G486" s="396"/>
      <c r="H486" s="401" t="s">
        <v>1049</v>
      </c>
      <c r="I486" s="385" t="s">
        <v>1005</v>
      </c>
      <c r="J486" s="489"/>
      <c r="K486" s="412"/>
      <c r="L486" s="412"/>
      <c r="M486" s="490" t="s">
        <v>813</v>
      </c>
      <c r="N486" s="490">
        <f>19+10+1+1</f>
        <v>31</v>
      </c>
    </row>
    <row r="487" spans="1:130" ht="60.75" hidden="1" outlineLevel="2">
      <c r="A487" s="564"/>
      <c r="B487" s="412" t="s">
        <v>53</v>
      </c>
      <c r="C487" s="412" t="s">
        <v>607</v>
      </c>
      <c r="D487" s="401" t="s">
        <v>391</v>
      </c>
      <c r="E487" s="385"/>
      <c r="F487" s="400"/>
      <c r="G487" s="396"/>
      <c r="H487" s="401" t="s">
        <v>1050</v>
      </c>
      <c r="I487" s="385" t="s">
        <v>912</v>
      </c>
      <c r="J487" s="489"/>
      <c r="K487" s="412"/>
      <c r="L487" s="412"/>
      <c r="M487" s="490" t="s">
        <v>308</v>
      </c>
      <c r="N487" s="490">
        <f>0.074+0.086+0.885+0.187</f>
        <v>1.232</v>
      </c>
    </row>
    <row r="488" spans="1:130" ht="60.75" hidden="1" outlineLevel="2">
      <c r="A488" s="564"/>
      <c r="B488" s="412" t="s">
        <v>53</v>
      </c>
      <c r="C488" s="412" t="s">
        <v>607</v>
      </c>
      <c r="D488" s="401" t="s">
        <v>391</v>
      </c>
      <c r="E488" s="385"/>
      <c r="F488" s="400"/>
      <c r="G488" s="396"/>
      <c r="H488" s="401" t="s">
        <v>1051</v>
      </c>
      <c r="I488" s="385" t="s">
        <v>914</v>
      </c>
      <c r="J488" s="489"/>
      <c r="K488" s="412"/>
      <c r="L488" s="412"/>
      <c r="M488" s="490" t="s">
        <v>308</v>
      </c>
      <c r="N488" s="490">
        <f>0.496+0.329+0.596+0.048</f>
        <v>1.4689999999999999</v>
      </c>
    </row>
    <row r="489" spans="1:130" hidden="1" outlineLevel="2">
      <c r="A489" s="564"/>
      <c r="B489" s="412" t="s">
        <v>53</v>
      </c>
      <c r="C489" s="412" t="s">
        <v>607</v>
      </c>
      <c r="D489" s="401" t="s">
        <v>391</v>
      </c>
      <c r="E489" s="385"/>
      <c r="F489" s="400"/>
      <c r="G489" s="396"/>
      <c r="H489" s="401" t="s">
        <v>1052</v>
      </c>
      <c r="I489" s="385" t="s">
        <v>1027</v>
      </c>
      <c r="J489" s="489"/>
      <c r="K489" s="412"/>
      <c r="L489" s="412"/>
      <c r="M489" s="490" t="s">
        <v>813</v>
      </c>
      <c r="N489" s="490">
        <v>1</v>
      </c>
    </row>
    <row r="490" spans="1:130" hidden="1" outlineLevel="2">
      <c r="A490" s="450"/>
      <c r="B490" s="412"/>
      <c r="C490" s="412"/>
      <c r="D490" s="401"/>
      <c r="E490" s="385"/>
      <c r="F490" s="400"/>
      <c r="G490" s="400"/>
      <c r="H490" s="401"/>
      <c r="I490" s="385"/>
      <c r="J490" s="489"/>
      <c r="K490" s="412"/>
      <c r="L490" s="412"/>
      <c r="M490" s="490"/>
      <c r="N490" s="490"/>
    </row>
    <row r="491" spans="1:130" hidden="1" outlineLevel="2">
      <c r="A491" s="450"/>
      <c r="B491" s="490"/>
      <c r="C491" s="490"/>
      <c r="D491" s="490"/>
      <c r="E491" s="385"/>
      <c r="F491" s="400"/>
      <c r="G491" s="385"/>
      <c r="H491" s="385"/>
      <c r="I491" s="385"/>
      <c r="J491" s="489"/>
      <c r="K491" s="412"/>
      <c r="L491" s="412"/>
      <c r="M491" s="490"/>
      <c r="N491" s="490"/>
    </row>
    <row r="492" spans="1:130" s="413" customFormat="1" ht="21" customHeight="1">
      <c r="A492" s="490" t="s">
        <v>329</v>
      </c>
      <c r="B492" s="490"/>
      <c r="C492" s="490"/>
      <c r="D492" s="490"/>
      <c r="E492" s="385"/>
      <c r="F492" s="490"/>
      <c r="G492" s="385"/>
      <c r="H492" s="539" t="s">
        <v>323</v>
      </c>
      <c r="I492" s="385"/>
      <c r="J492" s="489"/>
      <c r="K492" s="412"/>
      <c r="L492" s="412"/>
      <c r="M492" s="389"/>
      <c r="N492" s="389"/>
      <c r="O492" s="374"/>
      <c r="P492" s="374"/>
      <c r="Q492" s="374"/>
      <c r="R492" s="374"/>
      <c r="S492" s="374"/>
      <c r="T492" s="374"/>
      <c r="U492" s="374"/>
      <c r="V492" s="374"/>
      <c r="W492" s="374"/>
      <c r="X492" s="374"/>
      <c r="Y492" s="374"/>
      <c r="Z492" s="374"/>
      <c r="AA492" s="374"/>
      <c r="AB492" s="374"/>
      <c r="AC492" s="374"/>
      <c r="AD492" s="374"/>
      <c r="AE492" s="374"/>
      <c r="AF492" s="374"/>
      <c r="AG492" s="374"/>
      <c r="AH492" s="374"/>
      <c r="AI492" s="374"/>
      <c r="AJ492" s="374"/>
      <c r="AK492" s="374"/>
      <c r="AL492" s="374"/>
      <c r="AM492" s="374"/>
      <c r="AN492" s="374"/>
      <c r="AO492" s="374"/>
      <c r="AP492" s="374"/>
      <c r="AQ492" s="374"/>
      <c r="AR492" s="374"/>
      <c r="AS492" s="374"/>
      <c r="AT492" s="374"/>
      <c r="AU492" s="374"/>
      <c r="AV492" s="374"/>
      <c r="AW492" s="374"/>
      <c r="AX492" s="374"/>
      <c r="AY492" s="374"/>
      <c r="AZ492" s="374"/>
      <c r="BA492" s="374"/>
      <c r="BB492" s="374"/>
      <c r="BC492" s="374"/>
      <c r="BD492" s="374"/>
      <c r="BE492" s="374"/>
      <c r="BF492" s="374"/>
      <c r="BG492" s="374"/>
      <c r="BH492" s="374"/>
      <c r="BI492" s="374"/>
      <c r="BJ492" s="374"/>
      <c r="BK492" s="374"/>
      <c r="BL492" s="374"/>
      <c r="BM492" s="374"/>
      <c r="BN492" s="374"/>
      <c r="BO492" s="374"/>
      <c r="BP492" s="374"/>
      <c r="BQ492" s="374"/>
      <c r="BR492" s="374"/>
      <c r="BS492" s="374"/>
      <c r="BT492" s="374"/>
      <c r="BU492" s="374"/>
      <c r="BV492" s="374"/>
      <c r="BW492" s="374"/>
      <c r="BX492" s="374"/>
      <c r="BY492" s="374"/>
      <c r="BZ492" s="374"/>
      <c r="CA492" s="374"/>
      <c r="CB492" s="374"/>
      <c r="CC492" s="374"/>
      <c r="CD492" s="374"/>
      <c r="CE492" s="374"/>
      <c r="CF492" s="374"/>
      <c r="CG492" s="374"/>
      <c r="CH492" s="374"/>
      <c r="CI492" s="374"/>
      <c r="CJ492" s="374"/>
      <c r="CK492" s="374"/>
      <c r="CL492" s="374"/>
      <c r="CM492" s="374"/>
      <c r="CN492" s="374"/>
      <c r="CO492" s="374"/>
      <c r="CP492" s="374"/>
      <c r="CQ492" s="374"/>
      <c r="CR492" s="374"/>
      <c r="CS492" s="374"/>
      <c r="CT492" s="374"/>
      <c r="CU492" s="374"/>
      <c r="CV492" s="374"/>
      <c r="CW492" s="374"/>
      <c r="CX492" s="374"/>
      <c r="CY492" s="374"/>
      <c r="CZ492" s="374"/>
      <c r="DA492" s="374"/>
      <c r="DB492" s="374"/>
      <c r="DC492" s="374"/>
      <c r="DD492" s="374"/>
      <c r="DE492" s="374"/>
      <c r="DF492" s="374"/>
      <c r="DG492" s="374"/>
      <c r="DH492" s="374"/>
      <c r="DI492" s="374"/>
      <c r="DJ492" s="374"/>
      <c r="DK492" s="374"/>
      <c r="DL492" s="374"/>
      <c r="DM492" s="374"/>
      <c r="DN492" s="374"/>
      <c r="DO492" s="374"/>
      <c r="DP492" s="374"/>
      <c r="DQ492" s="374"/>
      <c r="DR492" s="374"/>
      <c r="DS492" s="374"/>
      <c r="DT492" s="374"/>
      <c r="DU492" s="374"/>
      <c r="DV492" s="374"/>
      <c r="DW492" s="374"/>
      <c r="DX492" s="374"/>
      <c r="DY492" s="374"/>
      <c r="DZ492" s="374"/>
    </row>
    <row r="493" spans="1:130" s="405" customFormat="1" ht="133.5" customHeight="1" outlineLevel="1" collapsed="1">
      <c r="A493" s="489" t="s">
        <v>1316</v>
      </c>
      <c r="B493" s="490" t="s">
        <v>237</v>
      </c>
      <c r="C493" s="398" t="s">
        <v>392</v>
      </c>
      <c r="D493" s="399" t="s">
        <v>391</v>
      </c>
      <c r="E493" s="490" t="s">
        <v>466</v>
      </c>
      <c r="F493" s="385" t="s">
        <v>1592</v>
      </c>
      <c r="G493" s="385"/>
      <c r="H493" s="401" t="s">
        <v>467</v>
      </c>
      <c r="I493" s="385" t="str">
        <f>CONCATENATE(I494," ","(",H494,")","-",N494," ",M494," ",I495," ","(",H495,")","-",N495," ",M495," ",I496," ","(",H496,")","-",N496," ",M496," ")</f>
        <v xml:space="preserve">Замена выключателей 6-10 кВ (ВМП-10 В-10, Ф-12, Ф-14  на ВВ)-2 шт. Ремонт разъединителей 110 кВ  (ШР 110 2Т 2с, ЛР 110 С-32, ШР 110 ТН 2с, СР 110 2с , ШР 110 РП 2с)-5 шт. Замена опорно-стержневых изоляторов разъединителей 110 кВ (ШР 110 ТН 2с.)-1 шт. </v>
      </c>
      <c r="J493" s="385" t="s">
        <v>365</v>
      </c>
      <c r="K493" s="450">
        <v>44348</v>
      </c>
      <c r="L493" s="450">
        <v>44469</v>
      </c>
      <c r="M493" s="490"/>
      <c r="N493" s="490"/>
      <c r="O493" s="493"/>
      <c r="P493" s="493"/>
      <c r="Q493" s="493"/>
      <c r="R493" s="493"/>
      <c r="S493" s="493"/>
      <c r="T493" s="493"/>
      <c r="U493" s="493"/>
      <c r="V493" s="493"/>
      <c r="W493" s="493"/>
      <c r="X493" s="493"/>
      <c r="Y493" s="493"/>
      <c r="Z493" s="493"/>
      <c r="AA493" s="493"/>
      <c r="AB493" s="493"/>
      <c r="AC493" s="493"/>
      <c r="AD493" s="493"/>
      <c r="AE493" s="493"/>
      <c r="AF493" s="493"/>
      <c r="AG493" s="493"/>
      <c r="AH493" s="493"/>
      <c r="AI493" s="493"/>
      <c r="AJ493" s="493"/>
      <c r="AK493" s="493"/>
      <c r="AL493" s="493"/>
      <c r="AM493" s="493"/>
      <c r="AN493" s="493"/>
      <c r="AO493" s="493"/>
      <c r="AP493" s="493"/>
      <c r="AQ493" s="493"/>
      <c r="AR493" s="493"/>
      <c r="AS493" s="493"/>
      <c r="AT493" s="493"/>
      <c r="AU493" s="493"/>
      <c r="AV493" s="493"/>
      <c r="AW493" s="493"/>
      <c r="AX493" s="493"/>
      <c r="AY493" s="493"/>
      <c r="AZ493" s="493"/>
      <c r="BA493" s="493"/>
      <c r="BB493" s="493"/>
      <c r="BC493" s="493"/>
      <c r="BD493" s="493"/>
      <c r="BE493" s="493"/>
      <c r="BF493" s="493"/>
      <c r="BG493" s="493"/>
      <c r="BH493" s="493"/>
      <c r="BI493" s="493"/>
      <c r="BJ493" s="493"/>
      <c r="BK493" s="493"/>
      <c r="BL493" s="493"/>
      <c r="BM493" s="493"/>
      <c r="BN493" s="493"/>
      <c r="BO493" s="493"/>
      <c r="BP493" s="493"/>
      <c r="BQ493" s="493"/>
      <c r="BR493" s="493"/>
      <c r="BS493" s="493"/>
      <c r="BT493" s="493"/>
      <c r="BU493" s="493"/>
      <c r="BV493" s="493"/>
      <c r="BW493" s="493"/>
      <c r="BX493" s="493"/>
      <c r="BY493" s="493"/>
      <c r="BZ493" s="493"/>
      <c r="CA493" s="493"/>
      <c r="CB493" s="493"/>
      <c r="CC493" s="493"/>
      <c r="CD493" s="493"/>
      <c r="CE493" s="493"/>
      <c r="CF493" s="493"/>
      <c r="CG493" s="493"/>
      <c r="CH493" s="493"/>
      <c r="CI493" s="493"/>
      <c r="CJ493" s="493"/>
      <c r="CK493" s="493"/>
      <c r="CL493" s="493"/>
      <c r="CM493" s="493"/>
      <c r="CN493" s="493"/>
      <c r="CO493" s="493"/>
      <c r="CP493" s="493"/>
      <c r="CQ493" s="493"/>
      <c r="CR493" s="493"/>
      <c r="CS493" s="493"/>
      <c r="CT493" s="493"/>
      <c r="CU493" s="493"/>
      <c r="CV493" s="493"/>
      <c r="CW493" s="493"/>
      <c r="CX493" s="493"/>
      <c r="CY493" s="493"/>
      <c r="CZ493" s="493"/>
      <c r="DA493" s="493"/>
      <c r="DB493" s="493"/>
      <c r="DC493" s="493"/>
      <c r="DD493" s="493"/>
      <c r="DE493" s="493"/>
      <c r="DF493" s="493"/>
      <c r="DG493" s="493"/>
      <c r="DH493" s="493"/>
      <c r="DI493" s="493"/>
      <c r="DJ493" s="493"/>
      <c r="DK493" s="493"/>
      <c r="DL493" s="493"/>
      <c r="DM493" s="493"/>
      <c r="DN493" s="493"/>
      <c r="DO493" s="493"/>
      <c r="DP493" s="493"/>
      <c r="DQ493" s="493"/>
      <c r="DR493" s="493"/>
      <c r="DS493" s="493"/>
      <c r="DT493" s="493"/>
      <c r="DU493" s="493"/>
      <c r="DV493" s="493"/>
      <c r="DW493" s="493"/>
      <c r="DX493" s="493"/>
      <c r="DY493" s="493"/>
      <c r="DZ493" s="493"/>
    </row>
    <row r="494" spans="1:130" hidden="1" outlineLevel="2">
      <c r="A494" s="438"/>
      <c r="B494" s="490" t="s">
        <v>237</v>
      </c>
      <c r="C494" s="398" t="s">
        <v>392</v>
      </c>
      <c r="D494" s="399" t="s">
        <v>391</v>
      </c>
      <c r="E494" s="490"/>
      <c r="F494" s="385"/>
      <c r="G494" s="385"/>
      <c r="H494" s="385" t="s">
        <v>468</v>
      </c>
      <c r="I494" s="385" t="s">
        <v>196</v>
      </c>
      <c r="J494" s="489" t="s">
        <v>365</v>
      </c>
      <c r="K494" s="412"/>
      <c r="L494" s="412"/>
      <c r="M494" s="490" t="s">
        <v>37</v>
      </c>
      <c r="N494" s="490">
        <v>2</v>
      </c>
    </row>
    <row r="495" spans="1:130" ht="51" hidden="1" customHeight="1" outlineLevel="2">
      <c r="A495" s="438"/>
      <c r="B495" s="490" t="s">
        <v>237</v>
      </c>
      <c r="C495" s="398" t="s">
        <v>392</v>
      </c>
      <c r="D495" s="399" t="s">
        <v>391</v>
      </c>
      <c r="E495" s="490"/>
      <c r="F495" s="396"/>
      <c r="G495" s="385"/>
      <c r="H495" s="385" t="s">
        <v>470</v>
      </c>
      <c r="I495" s="385" t="s">
        <v>199</v>
      </c>
      <c r="J495" s="489" t="s">
        <v>365</v>
      </c>
      <c r="K495" s="412"/>
      <c r="L495" s="412"/>
      <c r="M495" s="490" t="s">
        <v>37</v>
      </c>
      <c r="N495" s="490">
        <v>5</v>
      </c>
    </row>
    <row r="496" spans="1:130" ht="40.5" hidden="1" outlineLevel="2">
      <c r="A496" s="438"/>
      <c r="B496" s="490" t="s">
        <v>237</v>
      </c>
      <c r="C496" s="398" t="s">
        <v>392</v>
      </c>
      <c r="D496" s="399" t="s">
        <v>391</v>
      </c>
      <c r="E496" s="490"/>
      <c r="F496" s="385"/>
      <c r="G496" s="385"/>
      <c r="H496" s="385" t="s">
        <v>1571</v>
      </c>
      <c r="I496" s="385" t="s">
        <v>119</v>
      </c>
      <c r="J496" s="489" t="s">
        <v>365</v>
      </c>
      <c r="K496" s="412"/>
      <c r="L496" s="412"/>
      <c r="M496" s="490" t="s">
        <v>37</v>
      </c>
      <c r="N496" s="490">
        <v>1</v>
      </c>
    </row>
    <row r="497" spans="1:130" s="405" customFormat="1" ht="40.5" outlineLevel="1" collapsed="1">
      <c r="A497" s="489" t="s">
        <v>1317</v>
      </c>
      <c r="B497" s="490" t="s">
        <v>237</v>
      </c>
      <c r="C497" s="398" t="s">
        <v>408</v>
      </c>
      <c r="D497" s="399" t="s">
        <v>391</v>
      </c>
      <c r="E497" s="490" t="s">
        <v>485</v>
      </c>
      <c r="F497" s="385" t="s">
        <v>810</v>
      </c>
      <c r="G497" s="385"/>
      <c r="H497" s="401" t="s">
        <v>548</v>
      </c>
      <c r="I497" s="385" t="str">
        <f>CONCATENATE(I498," ","(",H498,")","-",N498," ",M498)</f>
        <v>Замена ОПН, разрядников 110 кВ (РВС-110  1Т на ОПН 110)-3 шт.</v>
      </c>
      <c r="J497" s="385" t="s">
        <v>365</v>
      </c>
      <c r="K497" s="450">
        <v>44348</v>
      </c>
      <c r="L497" s="450">
        <v>44377</v>
      </c>
      <c r="M497" s="490"/>
      <c r="N497" s="490"/>
      <c r="O497" s="493"/>
      <c r="P497" s="493"/>
      <c r="Q497" s="493"/>
      <c r="R497" s="493"/>
      <c r="S497" s="493"/>
      <c r="T497" s="493"/>
      <c r="U497" s="493"/>
      <c r="V497" s="493"/>
      <c r="W497" s="493"/>
      <c r="X497" s="493"/>
      <c r="Y497" s="493"/>
      <c r="Z497" s="493"/>
      <c r="AA497" s="493"/>
      <c r="AB497" s="493"/>
      <c r="AC497" s="493"/>
      <c r="AD497" s="493"/>
      <c r="AE497" s="493"/>
      <c r="AF497" s="493"/>
      <c r="AG497" s="493"/>
      <c r="AH497" s="493"/>
      <c r="AI497" s="493"/>
      <c r="AJ497" s="493"/>
      <c r="AK497" s="493"/>
      <c r="AL497" s="493"/>
      <c r="AM497" s="493"/>
      <c r="AN497" s="493"/>
      <c r="AO497" s="493"/>
      <c r="AP497" s="493"/>
      <c r="AQ497" s="493"/>
      <c r="AR497" s="493"/>
      <c r="AS497" s="493"/>
      <c r="AT497" s="493"/>
      <c r="AU497" s="493"/>
      <c r="AV497" s="493"/>
      <c r="AW497" s="493"/>
      <c r="AX497" s="493"/>
      <c r="AY497" s="493"/>
      <c r="AZ497" s="493"/>
      <c r="BA497" s="493"/>
      <c r="BB497" s="493"/>
      <c r="BC497" s="493"/>
      <c r="BD497" s="493"/>
      <c r="BE497" s="493"/>
      <c r="BF497" s="493"/>
      <c r="BG497" s="493"/>
      <c r="BH497" s="493"/>
      <c r="BI497" s="493"/>
      <c r="BJ497" s="493"/>
      <c r="BK497" s="493"/>
      <c r="BL497" s="493"/>
      <c r="BM497" s="493"/>
      <c r="BN497" s="493"/>
      <c r="BO497" s="493"/>
      <c r="BP497" s="493"/>
      <c r="BQ497" s="493"/>
      <c r="BR497" s="493"/>
      <c r="BS497" s="493"/>
      <c r="BT497" s="493"/>
      <c r="BU497" s="493"/>
      <c r="BV497" s="493"/>
      <c r="BW497" s="493"/>
      <c r="BX497" s="493"/>
      <c r="BY497" s="493"/>
      <c r="BZ497" s="493"/>
      <c r="CA497" s="493"/>
      <c r="CB497" s="493"/>
      <c r="CC497" s="493"/>
      <c r="CD497" s="493"/>
      <c r="CE497" s="493"/>
      <c r="CF497" s="493"/>
      <c r="CG497" s="493"/>
      <c r="CH497" s="493"/>
      <c r="CI497" s="493"/>
      <c r="CJ497" s="493"/>
      <c r="CK497" s="493"/>
      <c r="CL497" s="493"/>
      <c r="CM497" s="493"/>
      <c r="CN497" s="493"/>
      <c r="CO497" s="493"/>
      <c r="CP497" s="493"/>
      <c r="CQ497" s="493"/>
      <c r="CR497" s="493"/>
      <c r="CS497" s="493"/>
      <c r="CT497" s="493"/>
      <c r="CU497" s="493"/>
      <c r="CV497" s="493"/>
      <c r="CW497" s="493"/>
      <c r="CX497" s="493"/>
      <c r="CY497" s="493"/>
      <c r="CZ497" s="493"/>
      <c r="DA497" s="493"/>
      <c r="DB497" s="493"/>
      <c r="DC497" s="493"/>
      <c r="DD497" s="493"/>
      <c r="DE497" s="493"/>
      <c r="DF497" s="493"/>
      <c r="DG497" s="493"/>
      <c r="DH497" s="493"/>
      <c r="DI497" s="493"/>
      <c r="DJ497" s="493"/>
      <c r="DK497" s="493"/>
      <c r="DL497" s="493"/>
      <c r="DM497" s="493"/>
      <c r="DN497" s="493"/>
      <c r="DO497" s="493"/>
      <c r="DP497" s="493"/>
      <c r="DQ497" s="493"/>
      <c r="DR497" s="493"/>
      <c r="DS497" s="493"/>
      <c r="DT497" s="493"/>
      <c r="DU497" s="493"/>
      <c r="DV497" s="493"/>
      <c r="DW497" s="493"/>
      <c r="DX497" s="493"/>
      <c r="DY497" s="493"/>
      <c r="DZ497" s="493"/>
    </row>
    <row r="498" spans="1:130" hidden="1" outlineLevel="2">
      <c r="A498" s="438"/>
      <c r="B498" s="490" t="s">
        <v>237</v>
      </c>
      <c r="C498" s="398" t="s">
        <v>408</v>
      </c>
      <c r="D498" s="399" t="s">
        <v>391</v>
      </c>
      <c r="E498" s="490"/>
      <c r="F498" s="396"/>
      <c r="G498" s="385"/>
      <c r="H498" s="385" t="s">
        <v>486</v>
      </c>
      <c r="I498" s="385" t="s">
        <v>230</v>
      </c>
      <c r="J498" s="489" t="s">
        <v>365</v>
      </c>
      <c r="K498" s="412"/>
      <c r="L498" s="412"/>
      <c r="M498" s="490" t="s">
        <v>37</v>
      </c>
      <c r="N498" s="490">
        <v>3</v>
      </c>
    </row>
    <row r="499" spans="1:130" s="405" customFormat="1" ht="60.75" outlineLevel="1" collapsed="1">
      <c r="A499" s="489" t="s">
        <v>1318</v>
      </c>
      <c r="B499" s="490" t="s">
        <v>237</v>
      </c>
      <c r="C499" s="398" t="s">
        <v>408</v>
      </c>
      <c r="D499" s="399" t="s">
        <v>391</v>
      </c>
      <c r="E499" s="490" t="s">
        <v>496</v>
      </c>
      <c r="F499" s="385" t="s">
        <v>810</v>
      </c>
      <c r="G499" s="385"/>
      <c r="H499" s="401" t="s">
        <v>544</v>
      </c>
      <c r="I499" s="385" t="str">
        <f>CONCATENATE(I500," ","(",H500,")","-",N500," ",M500)</f>
        <v>Ремонт разъединителя 35 кВ (ТР-35 1Т, ТР-35 2Т, ШР-35 1Т ,ШР-35 2Т, СР-35 1С, СР-35 2С, ШР-35 Т-73, ЛР-35 Т-73, ШР-35 ТН-35 1С, ШР-35 ТН-35 2С )-10 шт.</v>
      </c>
      <c r="J499" s="385" t="s">
        <v>365</v>
      </c>
      <c r="K499" s="450">
        <v>44378</v>
      </c>
      <c r="L499" s="450">
        <v>44408</v>
      </c>
      <c r="M499" s="490"/>
      <c r="N499" s="490"/>
      <c r="O499" s="493"/>
      <c r="P499" s="493"/>
      <c r="Q499" s="493"/>
      <c r="R499" s="493"/>
      <c r="S499" s="493"/>
      <c r="T499" s="493"/>
      <c r="U499" s="493"/>
      <c r="V499" s="493"/>
      <c r="W499" s="493"/>
      <c r="X499" s="493"/>
      <c r="Y499" s="493"/>
      <c r="Z499" s="493"/>
      <c r="AA499" s="493"/>
      <c r="AB499" s="493"/>
      <c r="AC499" s="493"/>
      <c r="AD499" s="493"/>
      <c r="AE499" s="493"/>
      <c r="AF499" s="493"/>
      <c r="AG499" s="493"/>
      <c r="AH499" s="493"/>
      <c r="AI499" s="493"/>
      <c r="AJ499" s="493"/>
      <c r="AK499" s="493"/>
      <c r="AL499" s="493"/>
      <c r="AM499" s="493"/>
      <c r="AN499" s="493"/>
      <c r="AO499" s="493"/>
      <c r="AP499" s="493"/>
      <c r="AQ499" s="493"/>
      <c r="AR499" s="493"/>
      <c r="AS499" s="493"/>
      <c r="AT499" s="493"/>
      <c r="AU499" s="493"/>
      <c r="AV499" s="493"/>
      <c r="AW499" s="493"/>
      <c r="AX499" s="493"/>
      <c r="AY499" s="493"/>
      <c r="AZ499" s="493"/>
      <c r="BA499" s="493"/>
      <c r="BB499" s="493"/>
      <c r="BC499" s="493"/>
      <c r="BD499" s="493"/>
      <c r="BE499" s="493"/>
      <c r="BF499" s="493"/>
      <c r="BG499" s="493"/>
      <c r="BH499" s="493"/>
      <c r="BI499" s="493"/>
      <c r="BJ499" s="493"/>
      <c r="BK499" s="493"/>
      <c r="BL499" s="493"/>
      <c r="BM499" s="493"/>
      <c r="BN499" s="493"/>
      <c r="BO499" s="493"/>
      <c r="BP499" s="493"/>
      <c r="BQ499" s="493"/>
      <c r="BR499" s="493"/>
      <c r="BS499" s="493"/>
      <c r="BT499" s="493"/>
      <c r="BU499" s="493"/>
      <c r="BV499" s="493"/>
      <c r="BW499" s="493"/>
      <c r="BX499" s="493"/>
      <c r="BY499" s="493"/>
      <c r="BZ499" s="493"/>
      <c r="CA499" s="493"/>
      <c r="CB499" s="493"/>
      <c r="CC499" s="493"/>
      <c r="CD499" s="493"/>
      <c r="CE499" s="493"/>
      <c r="CF499" s="493"/>
      <c r="CG499" s="493"/>
      <c r="CH499" s="493"/>
      <c r="CI499" s="493"/>
      <c r="CJ499" s="493"/>
      <c r="CK499" s="493"/>
      <c r="CL499" s="493"/>
      <c r="CM499" s="493"/>
      <c r="CN499" s="493"/>
      <c r="CO499" s="493"/>
      <c r="CP499" s="493"/>
      <c r="CQ499" s="493"/>
      <c r="CR499" s="493"/>
      <c r="CS499" s="493"/>
      <c r="CT499" s="493"/>
      <c r="CU499" s="493"/>
      <c r="CV499" s="493"/>
      <c r="CW499" s="493"/>
      <c r="CX499" s="493"/>
      <c r="CY499" s="493"/>
      <c r="CZ499" s="493"/>
      <c r="DA499" s="493"/>
      <c r="DB499" s="493"/>
      <c r="DC499" s="493"/>
      <c r="DD499" s="493"/>
      <c r="DE499" s="493"/>
      <c r="DF499" s="493"/>
      <c r="DG499" s="493"/>
      <c r="DH499" s="493"/>
      <c r="DI499" s="493"/>
      <c r="DJ499" s="493"/>
      <c r="DK499" s="493"/>
      <c r="DL499" s="493"/>
      <c r="DM499" s="493"/>
      <c r="DN499" s="493"/>
      <c r="DO499" s="493"/>
      <c r="DP499" s="493"/>
      <c r="DQ499" s="493"/>
      <c r="DR499" s="493"/>
      <c r="DS499" s="493"/>
      <c r="DT499" s="493"/>
      <c r="DU499" s="493"/>
      <c r="DV499" s="493"/>
      <c r="DW499" s="493"/>
      <c r="DX499" s="493"/>
      <c r="DY499" s="493"/>
      <c r="DZ499" s="493"/>
    </row>
    <row r="500" spans="1:130" ht="76.5" hidden="1" customHeight="1" outlineLevel="2">
      <c r="A500" s="438"/>
      <c r="B500" s="490" t="s">
        <v>237</v>
      </c>
      <c r="C500" s="398" t="s">
        <v>408</v>
      </c>
      <c r="D500" s="399" t="s">
        <v>391</v>
      </c>
      <c r="E500" s="490"/>
      <c r="F500" s="396"/>
      <c r="G500" s="385"/>
      <c r="H500" s="385" t="s">
        <v>497</v>
      </c>
      <c r="I500" s="385" t="s">
        <v>493</v>
      </c>
      <c r="J500" s="489" t="s">
        <v>365</v>
      </c>
      <c r="K500" s="412"/>
      <c r="L500" s="412"/>
      <c r="M500" s="490" t="s">
        <v>37</v>
      </c>
      <c r="N500" s="490">
        <v>10</v>
      </c>
    </row>
    <row r="501" spans="1:130" s="405" customFormat="1" ht="60.75" outlineLevel="1" collapsed="1">
      <c r="A501" s="489" t="s">
        <v>1319</v>
      </c>
      <c r="B501" s="490" t="s">
        <v>237</v>
      </c>
      <c r="C501" s="398" t="s">
        <v>408</v>
      </c>
      <c r="D501" s="399" t="s">
        <v>391</v>
      </c>
      <c r="E501" s="490" t="s">
        <v>508</v>
      </c>
      <c r="F501" s="385" t="s">
        <v>1211</v>
      </c>
      <c r="G501" s="385" t="s">
        <v>1214</v>
      </c>
      <c r="H501" s="401" t="s">
        <v>550</v>
      </c>
      <c r="I501" s="385" t="str">
        <f>CONCATENATE(I502," ","(",H502,")","-",N502," ",M502)</f>
        <v>Замена опорно-стержневых изоляторов разъединителей 110 кВ (СР-110 1С,СР-110 2С,ШР-110 1С,ШР-110 2С,РРП-110 1С,РРП-110 2С)-24 шт.</v>
      </c>
      <c r="J501" s="385" t="s">
        <v>365</v>
      </c>
      <c r="K501" s="450">
        <v>44470</v>
      </c>
      <c r="L501" s="450">
        <v>44500</v>
      </c>
      <c r="M501" s="490"/>
      <c r="N501" s="490"/>
      <c r="O501" s="493"/>
      <c r="P501" s="493"/>
      <c r="Q501" s="493"/>
      <c r="R501" s="493"/>
      <c r="S501" s="493"/>
      <c r="T501" s="493"/>
      <c r="U501" s="493"/>
      <c r="V501" s="493"/>
      <c r="W501" s="493"/>
      <c r="X501" s="493"/>
      <c r="Y501" s="493"/>
      <c r="Z501" s="493"/>
      <c r="AA501" s="493"/>
      <c r="AB501" s="493"/>
      <c r="AC501" s="493"/>
      <c r="AD501" s="493"/>
      <c r="AE501" s="493"/>
      <c r="AF501" s="493"/>
      <c r="AG501" s="493"/>
      <c r="AH501" s="493"/>
      <c r="AI501" s="493"/>
      <c r="AJ501" s="493"/>
      <c r="AK501" s="493"/>
      <c r="AL501" s="493"/>
      <c r="AM501" s="493"/>
      <c r="AN501" s="493"/>
      <c r="AO501" s="493"/>
      <c r="AP501" s="493"/>
      <c r="AQ501" s="493"/>
      <c r="AR501" s="493"/>
      <c r="AS501" s="493"/>
      <c r="AT501" s="493"/>
      <c r="AU501" s="493"/>
      <c r="AV501" s="493"/>
      <c r="AW501" s="493"/>
      <c r="AX501" s="493"/>
      <c r="AY501" s="493"/>
      <c r="AZ501" s="493"/>
      <c r="BA501" s="493"/>
      <c r="BB501" s="493"/>
      <c r="BC501" s="493"/>
      <c r="BD501" s="493"/>
      <c r="BE501" s="493"/>
      <c r="BF501" s="493"/>
      <c r="BG501" s="493"/>
      <c r="BH501" s="493"/>
      <c r="BI501" s="493"/>
      <c r="BJ501" s="493"/>
      <c r="BK501" s="493"/>
      <c r="BL501" s="493"/>
      <c r="BM501" s="493"/>
      <c r="BN501" s="493"/>
      <c r="BO501" s="493"/>
      <c r="BP501" s="493"/>
      <c r="BQ501" s="493"/>
      <c r="BR501" s="493"/>
      <c r="BS501" s="493"/>
      <c r="BT501" s="493"/>
      <c r="BU501" s="493"/>
      <c r="BV501" s="493"/>
      <c r="BW501" s="493"/>
      <c r="BX501" s="493"/>
      <c r="BY501" s="493"/>
      <c r="BZ501" s="493"/>
      <c r="CA501" s="493"/>
      <c r="CB501" s="493"/>
      <c r="CC501" s="493"/>
      <c r="CD501" s="493"/>
      <c r="CE501" s="493"/>
      <c r="CF501" s="493"/>
      <c r="CG501" s="493"/>
      <c r="CH501" s="493"/>
      <c r="CI501" s="493"/>
      <c r="CJ501" s="493"/>
      <c r="CK501" s="493"/>
      <c r="CL501" s="493"/>
      <c r="CM501" s="493"/>
      <c r="CN501" s="493"/>
      <c r="CO501" s="493"/>
      <c r="CP501" s="493"/>
      <c r="CQ501" s="493"/>
      <c r="CR501" s="493"/>
      <c r="CS501" s="493"/>
      <c r="CT501" s="493"/>
      <c r="CU501" s="493"/>
      <c r="CV501" s="493"/>
      <c r="CW501" s="493"/>
      <c r="CX501" s="493"/>
      <c r="CY501" s="493"/>
      <c r="CZ501" s="493"/>
      <c r="DA501" s="493"/>
      <c r="DB501" s="493"/>
      <c r="DC501" s="493"/>
      <c r="DD501" s="493"/>
      <c r="DE501" s="493"/>
      <c r="DF501" s="493"/>
      <c r="DG501" s="493"/>
      <c r="DH501" s="493"/>
      <c r="DI501" s="493"/>
      <c r="DJ501" s="493"/>
      <c r="DK501" s="493"/>
      <c r="DL501" s="493"/>
      <c r="DM501" s="493"/>
      <c r="DN501" s="493"/>
      <c r="DO501" s="493"/>
      <c r="DP501" s="493"/>
      <c r="DQ501" s="493"/>
      <c r="DR501" s="493"/>
      <c r="DS501" s="493"/>
      <c r="DT501" s="493"/>
      <c r="DU501" s="493"/>
      <c r="DV501" s="493"/>
      <c r="DW501" s="493"/>
      <c r="DX501" s="493"/>
      <c r="DY501" s="493"/>
      <c r="DZ501" s="493"/>
    </row>
    <row r="502" spans="1:130" ht="40.5" hidden="1" outlineLevel="2">
      <c r="A502" s="438"/>
      <c r="B502" s="490" t="s">
        <v>237</v>
      </c>
      <c r="C502" s="398" t="s">
        <v>408</v>
      </c>
      <c r="D502" s="399" t="s">
        <v>391</v>
      </c>
      <c r="E502" s="385"/>
      <c r="F502" s="385"/>
      <c r="G502" s="385"/>
      <c r="H502" s="385" t="s">
        <v>1570</v>
      </c>
      <c r="I502" s="385" t="s">
        <v>119</v>
      </c>
      <c r="J502" s="489" t="s">
        <v>365</v>
      </c>
      <c r="K502" s="412"/>
      <c r="L502" s="412"/>
      <c r="M502" s="490" t="s">
        <v>37</v>
      </c>
      <c r="N502" s="490">
        <v>24</v>
      </c>
    </row>
    <row r="503" spans="1:130" s="384" customFormat="1" ht="81" outlineLevel="1" collapsed="1">
      <c r="A503" s="489" t="s">
        <v>1320</v>
      </c>
      <c r="B503" s="490" t="s">
        <v>298</v>
      </c>
      <c r="C503" s="398" t="s">
        <v>559</v>
      </c>
      <c r="D503" s="399" t="s">
        <v>391</v>
      </c>
      <c r="E503" s="490" t="s">
        <v>1693</v>
      </c>
      <c r="F503" s="385" t="s">
        <v>1470</v>
      </c>
      <c r="G503" s="385"/>
      <c r="H503" s="385" t="s">
        <v>1815</v>
      </c>
      <c r="I503" s="385" t="str">
        <f>CONCATENATE(I504," ","(",H504,")","-",N504," ",M504,)</f>
        <v>Замена трансформаторов тока 6-10 кВ (Яч. 6 А, С)-2 шт.</v>
      </c>
      <c r="J503" s="489" t="s">
        <v>365</v>
      </c>
      <c r="K503" s="450">
        <v>44348</v>
      </c>
      <c r="L503" s="450">
        <v>44439</v>
      </c>
      <c r="M503" s="490"/>
      <c r="N503" s="490"/>
    </row>
    <row r="504" spans="1:130" hidden="1" outlineLevel="2">
      <c r="A504" s="438"/>
      <c r="B504" s="490" t="s">
        <v>298</v>
      </c>
      <c r="C504" s="398"/>
      <c r="D504" s="399"/>
      <c r="E504" s="385"/>
      <c r="F504" s="400"/>
      <c r="G504" s="385"/>
      <c r="H504" s="401" t="s">
        <v>1686</v>
      </c>
      <c r="I504" s="385" t="s">
        <v>967</v>
      </c>
      <c r="J504" s="489" t="s">
        <v>365</v>
      </c>
      <c r="K504" s="412"/>
      <c r="L504" s="412"/>
      <c r="M504" s="490" t="s">
        <v>37</v>
      </c>
      <c r="N504" s="490">
        <v>2</v>
      </c>
    </row>
    <row r="505" spans="1:130" s="405" customFormat="1" ht="162" outlineLevel="1" collapsed="1">
      <c r="A505" s="489" t="s">
        <v>1321</v>
      </c>
      <c r="B505" s="490" t="s">
        <v>237</v>
      </c>
      <c r="C505" s="398" t="s">
        <v>559</v>
      </c>
      <c r="D505" s="399" t="s">
        <v>391</v>
      </c>
      <c r="E505" s="490" t="s">
        <v>739</v>
      </c>
      <c r="F505" s="385" t="s">
        <v>810</v>
      </c>
      <c r="G505" s="385"/>
      <c r="H505" s="401" t="s">
        <v>736</v>
      </c>
      <c r="I505" s="385" t="str">
        <f>CONCATENATE(I506," ","(",H506,")","-",N506," ",M506," ",I509,"  ","(",H509,")","-",N509," ",M509," ",I507," ","(",H507,")","-",N507," ",M507," ",I508," ","(",H508,")","-",N508," ",M508)</f>
        <v>Замена ОПН, разрядников 110 кВ (2Т типа РВС-110 на ОПН-110 типа ОПНп-110/680/84-10-III УХЛ1)-3 шт. Замена ОПН, разрядников 0 кВ  (2Т типа РВС-35+15 на ОПН-35 типа ОПНп-110/680/56-10-III УХЛ1)-1 шт. Замена ОПН, разрядников 35 кВ (2Т типа РВС-35 на ОПН-35 типа ОПНп-35/680/40,5-10-III УХЛ1)-3 шт. Замена ОПН, разрядников 6-10 кВ (2Т типа РВП-6  на ОПН-6 типа ОПНп-6/680/7,2-10-IV УХЛ1)-3 шт.</v>
      </c>
      <c r="J505" s="385" t="s">
        <v>365</v>
      </c>
      <c r="K505" s="450">
        <v>44409</v>
      </c>
      <c r="L505" s="450">
        <v>44439</v>
      </c>
      <c r="M505" s="490"/>
      <c r="N505" s="490"/>
      <c r="O505" s="493"/>
      <c r="P505" s="493"/>
      <c r="Q505" s="493"/>
      <c r="R505" s="493"/>
      <c r="S505" s="493"/>
      <c r="T505" s="493"/>
      <c r="U505" s="493"/>
      <c r="V505" s="493"/>
      <c r="W505" s="493"/>
      <c r="X505" s="493"/>
      <c r="Y505" s="493"/>
      <c r="Z505" s="493"/>
      <c r="AA505" s="493"/>
      <c r="AB505" s="493"/>
      <c r="AC505" s="493"/>
      <c r="AD505" s="493"/>
      <c r="AE505" s="493"/>
      <c r="AF505" s="493"/>
      <c r="AG505" s="493"/>
      <c r="AH505" s="493"/>
      <c r="AI505" s="493"/>
      <c r="AJ505" s="493"/>
      <c r="AK505" s="493"/>
      <c r="AL505" s="493"/>
      <c r="AM505" s="493"/>
      <c r="AN505" s="493"/>
      <c r="AO505" s="493"/>
      <c r="AP505" s="493"/>
      <c r="AQ505" s="493"/>
      <c r="AR505" s="493"/>
      <c r="AS505" s="493"/>
      <c r="AT505" s="493"/>
      <c r="AU505" s="493"/>
      <c r="AV505" s="493"/>
      <c r="AW505" s="493"/>
      <c r="AX505" s="493"/>
      <c r="AY505" s="493"/>
      <c r="AZ505" s="493"/>
      <c r="BA505" s="493"/>
      <c r="BB505" s="493"/>
      <c r="BC505" s="493"/>
      <c r="BD505" s="493"/>
      <c r="BE505" s="493"/>
      <c r="BF505" s="493"/>
      <c r="BG505" s="493"/>
      <c r="BH505" s="493"/>
      <c r="BI505" s="493"/>
      <c r="BJ505" s="493"/>
      <c r="BK505" s="493"/>
      <c r="BL505" s="493"/>
      <c r="BM505" s="493"/>
      <c r="BN505" s="493"/>
      <c r="BO505" s="493"/>
      <c r="BP505" s="493"/>
      <c r="BQ505" s="493"/>
      <c r="BR505" s="493"/>
      <c r="BS505" s="493"/>
      <c r="BT505" s="493"/>
      <c r="BU505" s="493"/>
      <c r="BV505" s="493"/>
      <c r="BW505" s="493"/>
      <c r="BX505" s="493"/>
      <c r="BY505" s="493"/>
      <c r="BZ505" s="493"/>
      <c r="CA505" s="493"/>
      <c r="CB505" s="493"/>
      <c r="CC505" s="493"/>
      <c r="CD505" s="493"/>
      <c r="CE505" s="493"/>
      <c r="CF505" s="493"/>
      <c r="CG505" s="493"/>
      <c r="CH505" s="493"/>
      <c r="CI505" s="493"/>
      <c r="CJ505" s="493"/>
      <c r="CK505" s="493"/>
      <c r="CL505" s="493"/>
      <c r="CM505" s="493"/>
      <c r="CN505" s="493"/>
      <c r="CO505" s="493"/>
      <c r="CP505" s="493"/>
      <c r="CQ505" s="493"/>
      <c r="CR505" s="493"/>
      <c r="CS505" s="493"/>
      <c r="CT505" s="493"/>
      <c r="CU505" s="493"/>
      <c r="CV505" s="493"/>
      <c r="CW505" s="493"/>
      <c r="CX505" s="493"/>
      <c r="CY505" s="493"/>
      <c r="CZ505" s="493"/>
      <c r="DA505" s="493"/>
      <c r="DB505" s="493"/>
      <c r="DC505" s="493"/>
      <c r="DD505" s="493"/>
      <c r="DE505" s="493"/>
      <c r="DF505" s="493"/>
      <c r="DG505" s="493"/>
      <c r="DH505" s="493"/>
      <c r="DI505" s="493"/>
      <c r="DJ505" s="493"/>
      <c r="DK505" s="493"/>
      <c r="DL505" s="493"/>
      <c r="DM505" s="493"/>
      <c r="DN505" s="493"/>
      <c r="DO505" s="493"/>
      <c r="DP505" s="493"/>
      <c r="DQ505" s="493"/>
      <c r="DR505" s="493"/>
      <c r="DS505" s="493"/>
      <c r="DT505" s="493"/>
      <c r="DU505" s="493"/>
      <c r="DV505" s="493"/>
      <c r="DW505" s="493"/>
      <c r="DX505" s="493"/>
      <c r="DY505" s="493"/>
      <c r="DZ505" s="493"/>
    </row>
    <row r="506" spans="1:130" ht="40.5" hidden="1" outlineLevel="2">
      <c r="A506" s="438"/>
      <c r="B506" s="490" t="s">
        <v>237</v>
      </c>
      <c r="C506" s="398" t="s">
        <v>559</v>
      </c>
      <c r="D506" s="399" t="s">
        <v>391</v>
      </c>
      <c r="E506" s="490"/>
      <c r="F506" s="385"/>
      <c r="G506" s="385"/>
      <c r="H506" s="385" t="s">
        <v>741</v>
      </c>
      <c r="I506" s="385" t="s">
        <v>230</v>
      </c>
      <c r="J506" s="489" t="s">
        <v>365</v>
      </c>
      <c r="K506" s="412"/>
      <c r="L506" s="412"/>
      <c r="M506" s="490" t="s">
        <v>37</v>
      </c>
      <c r="N506" s="490">
        <v>3</v>
      </c>
    </row>
    <row r="507" spans="1:130" ht="40.5" hidden="1" outlineLevel="2">
      <c r="A507" s="450"/>
      <c r="B507" s="490" t="s">
        <v>237</v>
      </c>
      <c r="C507" s="398" t="s">
        <v>559</v>
      </c>
      <c r="D507" s="399" t="s">
        <v>391</v>
      </c>
      <c r="E507" s="490"/>
      <c r="F507" s="385"/>
      <c r="G507" s="385"/>
      <c r="H507" s="385" t="s">
        <v>742</v>
      </c>
      <c r="I507" s="385" t="s">
        <v>231</v>
      </c>
      <c r="J507" s="489" t="s">
        <v>365</v>
      </c>
      <c r="K507" s="412"/>
      <c r="L507" s="412"/>
      <c r="M507" s="490" t="s">
        <v>37</v>
      </c>
      <c r="N507" s="490">
        <v>3</v>
      </c>
    </row>
    <row r="508" spans="1:130" ht="40.5" hidden="1" outlineLevel="2">
      <c r="A508" s="438"/>
      <c r="B508" s="490" t="s">
        <v>237</v>
      </c>
      <c r="C508" s="398" t="s">
        <v>559</v>
      </c>
      <c r="D508" s="399" t="s">
        <v>391</v>
      </c>
      <c r="E508" s="490"/>
      <c r="F508" s="385"/>
      <c r="G508" s="385"/>
      <c r="H508" s="385" t="s">
        <v>744</v>
      </c>
      <c r="I508" s="385" t="s">
        <v>232</v>
      </c>
      <c r="J508" s="489" t="s">
        <v>365</v>
      </c>
      <c r="K508" s="412"/>
      <c r="L508" s="412"/>
      <c r="M508" s="490" t="s">
        <v>37</v>
      </c>
      <c r="N508" s="490">
        <v>3</v>
      </c>
    </row>
    <row r="509" spans="1:130" ht="40.5" hidden="1" outlineLevel="2">
      <c r="A509" s="438"/>
      <c r="B509" s="490" t="s">
        <v>237</v>
      </c>
      <c r="C509" s="398" t="s">
        <v>559</v>
      </c>
      <c r="D509" s="399" t="s">
        <v>391</v>
      </c>
      <c r="E509" s="490"/>
      <c r="F509" s="385"/>
      <c r="G509" s="385"/>
      <c r="H509" s="385" t="s">
        <v>743</v>
      </c>
      <c r="I509" s="385" t="s">
        <v>740</v>
      </c>
      <c r="J509" s="489" t="s">
        <v>365</v>
      </c>
      <c r="K509" s="412"/>
      <c r="L509" s="412"/>
      <c r="M509" s="490" t="s">
        <v>37</v>
      </c>
      <c r="N509" s="490">
        <v>1</v>
      </c>
    </row>
    <row r="510" spans="1:130" s="405" customFormat="1" ht="162" outlineLevel="1" collapsed="1">
      <c r="A510" s="489" t="s">
        <v>1322</v>
      </c>
      <c r="B510" s="490" t="s">
        <v>237</v>
      </c>
      <c r="C510" s="398" t="s">
        <v>559</v>
      </c>
      <c r="D510" s="399" t="s">
        <v>391</v>
      </c>
      <c r="E510" s="490" t="s">
        <v>751</v>
      </c>
      <c r="F510" s="385" t="s">
        <v>810</v>
      </c>
      <c r="G510" s="385"/>
      <c r="H510" s="401" t="s">
        <v>750</v>
      </c>
      <c r="I510" s="385" t="str">
        <f>CONCATENATE(I511," ","(",H511,")","-",N511," ",M511," ",I512," ","(",H512,")","-",N512," ",M512," ",I513," ","(",H513,")","-",N513," ",M513)</f>
        <v>Замена ОПН, разрядников 35 кВ (разрядники 1Т,2Т типа РВС-35 на ОПН-35 типа ОПНп-35/680/40,5-10-III УХЛ1)-6 шт. Замена ОПН, разрядников 0 кВ (разрядники 1Т,2Т типа РВС-35+15 на ОПН-35 типа  ОПНп-110/680/56-10-III УХЛ1)-2 шт. Ремонт выключателей 6-10 кВ (ВМПЭ-10 с приводом ПЭ-1  СВ 6,В 6 2Т, ВМГ-133 с приводом ПС-10   В 6 яч.19,35,36)-5 шт.</v>
      </c>
      <c r="J510" s="489" t="s">
        <v>365</v>
      </c>
      <c r="K510" s="450">
        <v>44317</v>
      </c>
      <c r="L510" s="450">
        <v>44530</v>
      </c>
      <c r="M510" s="490"/>
      <c r="N510" s="490"/>
      <c r="O510" s="493"/>
      <c r="P510" s="493"/>
      <c r="Q510" s="493"/>
      <c r="R510" s="493"/>
      <c r="S510" s="493"/>
      <c r="T510" s="493"/>
      <c r="U510" s="493"/>
      <c r="V510" s="493"/>
      <c r="W510" s="493"/>
      <c r="X510" s="493"/>
      <c r="Y510" s="493"/>
      <c r="Z510" s="493"/>
      <c r="AA510" s="493"/>
      <c r="AB510" s="493"/>
      <c r="AC510" s="493"/>
      <c r="AD510" s="493"/>
      <c r="AE510" s="493"/>
      <c r="AF510" s="493"/>
      <c r="AG510" s="493"/>
      <c r="AH510" s="493"/>
      <c r="AI510" s="493"/>
      <c r="AJ510" s="493"/>
      <c r="AK510" s="493"/>
      <c r="AL510" s="493"/>
      <c r="AM510" s="493"/>
      <c r="AN510" s="493"/>
      <c r="AO510" s="493"/>
      <c r="AP510" s="493"/>
      <c r="AQ510" s="493"/>
      <c r="AR510" s="493"/>
      <c r="AS510" s="493"/>
      <c r="AT510" s="493"/>
      <c r="AU510" s="493"/>
      <c r="AV510" s="493"/>
      <c r="AW510" s="493"/>
      <c r="AX510" s="493"/>
      <c r="AY510" s="493"/>
      <c r="AZ510" s="493"/>
      <c r="BA510" s="493"/>
      <c r="BB510" s="493"/>
      <c r="BC510" s="493"/>
      <c r="BD510" s="493"/>
      <c r="BE510" s="493"/>
      <c r="BF510" s="493"/>
      <c r="BG510" s="493"/>
      <c r="BH510" s="493"/>
      <c r="BI510" s="493"/>
      <c r="BJ510" s="493"/>
      <c r="BK510" s="493"/>
      <c r="BL510" s="493"/>
      <c r="BM510" s="493"/>
      <c r="BN510" s="493"/>
      <c r="BO510" s="493"/>
      <c r="BP510" s="493"/>
      <c r="BQ510" s="493"/>
      <c r="BR510" s="493"/>
      <c r="BS510" s="493"/>
      <c r="BT510" s="493"/>
      <c r="BU510" s="493"/>
      <c r="BV510" s="493"/>
      <c r="BW510" s="493"/>
      <c r="BX510" s="493"/>
      <c r="BY510" s="493"/>
      <c r="BZ510" s="493"/>
      <c r="CA510" s="493"/>
      <c r="CB510" s="493"/>
      <c r="CC510" s="493"/>
      <c r="CD510" s="493"/>
      <c r="CE510" s="493"/>
      <c r="CF510" s="493"/>
      <c r="CG510" s="493"/>
      <c r="CH510" s="493"/>
      <c r="CI510" s="493"/>
      <c r="CJ510" s="493"/>
      <c r="CK510" s="493"/>
      <c r="CL510" s="493"/>
      <c r="CM510" s="493"/>
      <c r="CN510" s="493"/>
      <c r="CO510" s="493"/>
      <c r="CP510" s="493"/>
      <c r="CQ510" s="493"/>
      <c r="CR510" s="493"/>
      <c r="CS510" s="493"/>
      <c r="CT510" s="493"/>
      <c r="CU510" s="493"/>
      <c r="CV510" s="493"/>
      <c r="CW510" s="493"/>
      <c r="CX510" s="493"/>
      <c r="CY510" s="493"/>
      <c r="CZ510" s="493"/>
      <c r="DA510" s="493"/>
      <c r="DB510" s="493"/>
      <c r="DC510" s="493"/>
      <c r="DD510" s="493"/>
      <c r="DE510" s="493"/>
      <c r="DF510" s="493"/>
      <c r="DG510" s="493"/>
      <c r="DH510" s="493"/>
      <c r="DI510" s="493"/>
      <c r="DJ510" s="493"/>
      <c r="DK510" s="493"/>
      <c r="DL510" s="493"/>
      <c r="DM510" s="493"/>
      <c r="DN510" s="493"/>
      <c r="DO510" s="493"/>
      <c r="DP510" s="493"/>
      <c r="DQ510" s="493"/>
      <c r="DR510" s="493"/>
      <c r="DS510" s="493"/>
      <c r="DT510" s="493"/>
      <c r="DU510" s="493"/>
      <c r="DV510" s="493"/>
      <c r="DW510" s="493"/>
      <c r="DX510" s="493"/>
      <c r="DY510" s="493"/>
      <c r="DZ510" s="493"/>
    </row>
    <row r="511" spans="1:130" ht="40.5" hidden="1" outlineLevel="2">
      <c r="A511" s="438"/>
      <c r="B511" s="490" t="s">
        <v>237</v>
      </c>
      <c r="C511" s="398" t="s">
        <v>559</v>
      </c>
      <c r="D511" s="399" t="s">
        <v>391</v>
      </c>
      <c r="E511" s="490"/>
      <c r="F511" s="385"/>
      <c r="G511" s="385"/>
      <c r="H511" s="385" t="s">
        <v>754</v>
      </c>
      <c r="I511" s="385" t="s">
        <v>231</v>
      </c>
      <c r="J511" s="489" t="s">
        <v>365</v>
      </c>
      <c r="K511" s="412"/>
      <c r="L511" s="412"/>
      <c r="M511" s="490" t="s">
        <v>37</v>
      </c>
      <c r="N511" s="490">
        <v>6</v>
      </c>
    </row>
    <row r="512" spans="1:130" ht="64.5" hidden="1" customHeight="1" outlineLevel="2">
      <c r="A512" s="450"/>
      <c r="B512" s="490" t="s">
        <v>237</v>
      </c>
      <c r="C512" s="398" t="s">
        <v>559</v>
      </c>
      <c r="D512" s="399" t="s">
        <v>391</v>
      </c>
      <c r="E512" s="490"/>
      <c r="F512" s="385"/>
      <c r="G512" s="385"/>
      <c r="H512" s="385" t="s">
        <v>755</v>
      </c>
      <c r="I512" s="385" t="s">
        <v>740</v>
      </c>
      <c r="J512" s="489" t="s">
        <v>365</v>
      </c>
      <c r="K512" s="412"/>
      <c r="L512" s="412"/>
      <c r="M512" s="490" t="s">
        <v>37</v>
      </c>
      <c r="N512" s="490">
        <v>2</v>
      </c>
    </row>
    <row r="513" spans="1:130" ht="63" hidden="1" customHeight="1" outlineLevel="2">
      <c r="A513" s="438"/>
      <c r="B513" s="490" t="s">
        <v>237</v>
      </c>
      <c r="C513" s="398" t="s">
        <v>559</v>
      </c>
      <c r="D513" s="399" t="s">
        <v>391</v>
      </c>
      <c r="E513" s="490"/>
      <c r="F513" s="385"/>
      <c r="G513" s="385"/>
      <c r="H513" s="385" t="s">
        <v>756</v>
      </c>
      <c r="I513" s="385" t="s">
        <v>191</v>
      </c>
      <c r="J513" s="489" t="s">
        <v>365</v>
      </c>
      <c r="K513" s="412"/>
      <c r="L513" s="412"/>
      <c r="M513" s="490" t="s">
        <v>37</v>
      </c>
      <c r="N513" s="490">
        <v>5</v>
      </c>
    </row>
    <row r="514" spans="1:130" s="405" customFormat="1" ht="117" customHeight="1" outlineLevel="1" collapsed="1">
      <c r="A514" s="489" t="s">
        <v>1323</v>
      </c>
      <c r="B514" s="490" t="s">
        <v>237</v>
      </c>
      <c r="C514" s="398" t="s">
        <v>559</v>
      </c>
      <c r="D514" s="399" t="s">
        <v>391</v>
      </c>
      <c r="E514" s="490" t="s">
        <v>745</v>
      </c>
      <c r="F514" s="385" t="s">
        <v>810</v>
      </c>
      <c r="G514" s="385"/>
      <c r="H514" s="401" t="s">
        <v>708</v>
      </c>
      <c r="I514" s="385" t="str">
        <f>CONCATENATE(I515," ","(",H515,")","-",N515," ",M515," ",I516," ","(",H516,")","-",N516," ",M516," ",I517," ","(",H517,")","-",N517," ",M517)</f>
        <v>Ремонт выключателей 6-10 кВ (В 6 яч.28,36)-2 шт. Ремонт разъединителей 110 кВ  (ШР 110 С-45,С-46, ТН 110 1с, СР110 2с)-4 шт. Замена опорно-стержневых изоляторов разъединителей 110 кВ (ШР 110 С-45,С-46, ТН 110 1с, СР110 2с)-24 шт.</v>
      </c>
      <c r="J514" s="385" t="s">
        <v>365</v>
      </c>
      <c r="K514" s="450">
        <v>44228</v>
      </c>
      <c r="L514" s="450">
        <v>44500</v>
      </c>
      <c r="M514" s="490"/>
      <c r="N514" s="490"/>
      <c r="O514" s="493"/>
      <c r="P514" s="493"/>
      <c r="Q514" s="493"/>
      <c r="R514" s="493"/>
      <c r="S514" s="493"/>
      <c r="T514" s="493"/>
      <c r="U514" s="493"/>
      <c r="V514" s="493"/>
      <c r="W514" s="493"/>
      <c r="X514" s="493"/>
      <c r="Y514" s="493"/>
      <c r="Z514" s="493"/>
      <c r="AA514" s="493"/>
      <c r="AB514" s="493"/>
      <c r="AC514" s="493"/>
      <c r="AD514" s="493"/>
      <c r="AE514" s="493"/>
      <c r="AF514" s="493"/>
      <c r="AG514" s="493"/>
      <c r="AH514" s="493"/>
      <c r="AI514" s="493"/>
      <c r="AJ514" s="493"/>
      <c r="AK514" s="493"/>
      <c r="AL514" s="493"/>
      <c r="AM514" s="493"/>
      <c r="AN514" s="493"/>
      <c r="AO514" s="493"/>
      <c r="AP514" s="493"/>
      <c r="AQ514" s="493"/>
      <c r="AR514" s="493"/>
      <c r="AS514" s="493"/>
      <c r="AT514" s="493"/>
      <c r="AU514" s="493"/>
      <c r="AV514" s="493"/>
      <c r="AW514" s="493"/>
      <c r="AX514" s="493"/>
      <c r="AY514" s="493"/>
      <c r="AZ514" s="493"/>
      <c r="BA514" s="493"/>
      <c r="BB514" s="493"/>
      <c r="BC514" s="493"/>
      <c r="BD514" s="493"/>
      <c r="BE514" s="493"/>
      <c r="BF514" s="493"/>
      <c r="BG514" s="493"/>
      <c r="BH514" s="493"/>
      <c r="BI514" s="493"/>
      <c r="BJ514" s="493"/>
      <c r="BK514" s="493"/>
      <c r="BL514" s="493"/>
      <c r="BM514" s="493"/>
      <c r="BN514" s="493"/>
      <c r="BO514" s="493"/>
      <c r="BP514" s="493"/>
      <c r="BQ514" s="493"/>
      <c r="BR514" s="493"/>
      <c r="BS514" s="493"/>
      <c r="BT514" s="493"/>
      <c r="BU514" s="493"/>
      <c r="BV514" s="493"/>
      <c r="BW514" s="493"/>
      <c r="BX514" s="493"/>
      <c r="BY514" s="493"/>
      <c r="BZ514" s="493"/>
      <c r="CA514" s="493"/>
      <c r="CB514" s="493"/>
      <c r="CC514" s="493"/>
      <c r="CD514" s="493"/>
      <c r="CE514" s="493"/>
      <c r="CF514" s="493"/>
      <c r="CG514" s="493"/>
      <c r="CH514" s="493"/>
      <c r="CI514" s="493"/>
      <c r="CJ514" s="493"/>
      <c r="CK514" s="493"/>
      <c r="CL514" s="493"/>
      <c r="CM514" s="493"/>
      <c r="CN514" s="493"/>
      <c r="CO514" s="493"/>
      <c r="CP514" s="493"/>
      <c r="CQ514" s="493"/>
      <c r="CR514" s="493"/>
      <c r="CS514" s="493"/>
      <c r="CT514" s="493"/>
      <c r="CU514" s="493"/>
      <c r="CV514" s="493"/>
      <c r="CW514" s="493"/>
      <c r="CX514" s="493"/>
      <c r="CY514" s="493"/>
      <c r="CZ514" s="493"/>
      <c r="DA514" s="493"/>
      <c r="DB514" s="493"/>
      <c r="DC514" s="493"/>
      <c r="DD514" s="493"/>
      <c r="DE514" s="493"/>
      <c r="DF514" s="493"/>
      <c r="DG514" s="493"/>
      <c r="DH514" s="493"/>
      <c r="DI514" s="493"/>
      <c r="DJ514" s="493"/>
      <c r="DK514" s="493"/>
      <c r="DL514" s="493"/>
      <c r="DM514" s="493"/>
      <c r="DN514" s="493"/>
      <c r="DO514" s="493"/>
      <c r="DP514" s="493"/>
      <c r="DQ514" s="493"/>
      <c r="DR514" s="493"/>
      <c r="DS514" s="493"/>
      <c r="DT514" s="493"/>
      <c r="DU514" s="493"/>
      <c r="DV514" s="493"/>
      <c r="DW514" s="493"/>
      <c r="DX514" s="493"/>
      <c r="DY514" s="493"/>
      <c r="DZ514" s="493"/>
    </row>
    <row r="515" spans="1:130" hidden="1" outlineLevel="2">
      <c r="A515" s="438"/>
      <c r="B515" s="490" t="s">
        <v>237</v>
      </c>
      <c r="C515" s="398" t="s">
        <v>559</v>
      </c>
      <c r="D515" s="399" t="s">
        <v>391</v>
      </c>
      <c r="E515" s="490"/>
      <c r="F515" s="385"/>
      <c r="G515" s="385"/>
      <c r="H515" s="385" t="s">
        <v>746</v>
      </c>
      <c r="I515" s="385" t="s">
        <v>191</v>
      </c>
      <c r="J515" s="489" t="s">
        <v>365</v>
      </c>
      <c r="K515" s="412"/>
      <c r="L515" s="412"/>
      <c r="M515" s="490" t="s">
        <v>37</v>
      </c>
      <c r="N515" s="490">
        <v>2</v>
      </c>
    </row>
    <row r="516" spans="1:130" hidden="1" outlineLevel="2">
      <c r="A516" s="438"/>
      <c r="B516" s="490" t="s">
        <v>237</v>
      </c>
      <c r="C516" s="398" t="s">
        <v>559</v>
      </c>
      <c r="D516" s="399" t="s">
        <v>391</v>
      </c>
      <c r="E516" s="490"/>
      <c r="F516" s="385"/>
      <c r="G516" s="385"/>
      <c r="H516" s="385" t="s">
        <v>1572</v>
      </c>
      <c r="I516" s="385" t="s">
        <v>199</v>
      </c>
      <c r="J516" s="489" t="s">
        <v>365</v>
      </c>
      <c r="K516" s="412"/>
      <c r="L516" s="412"/>
      <c r="M516" s="490" t="s">
        <v>37</v>
      </c>
      <c r="N516" s="490">
        <v>4</v>
      </c>
    </row>
    <row r="517" spans="1:130" ht="40.5" hidden="1" outlineLevel="2">
      <c r="A517" s="438"/>
      <c r="B517" s="490" t="s">
        <v>237</v>
      </c>
      <c r="C517" s="398" t="s">
        <v>559</v>
      </c>
      <c r="D517" s="399" t="s">
        <v>391</v>
      </c>
      <c r="E517" s="490"/>
      <c r="F517" s="385" t="s">
        <v>1211</v>
      </c>
      <c r="G517" s="385" t="s">
        <v>1214</v>
      </c>
      <c r="H517" s="385" t="s">
        <v>1572</v>
      </c>
      <c r="I517" s="385" t="s">
        <v>119</v>
      </c>
      <c r="J517" s="489" t="s">
        <v>365</v>
      </c>
      <c r="K517" s="412"/>
      <c r="L517" s="412"/>
      <c r="M517" s="490" t="s">
        <v>37</v>
      </c>
      <c r="N517" s="490">
        <v>24</v>
      </c>
    </row>
    <row r="518" spans="1:130" s="405" customFormat="1" ht="81" outlineLevel="1" collapsed="1">
      <c r="A518" s="489" t="s">
        <v>1324</v>
      </c>
      <c r="B518" s="490" t="s">
        <v>237</v>
      </c>
      <c r="C518" s="398" t="s">
        <v>559</v>
      </c>
      <c r="D518" s="399" t="s">
        <v>391</v>
      </c>
      <c r="E518" s="490" t="s">
        <v>757</v>
      </c>
      <c r="F518" s="385" t="s">
        <v>810</v>
      </c>
      <c r="G518" s="385"/>
      <c r="H518" s="401" t="s">
        <v>758</v>
      </c>
      <c r="I518" s="385" t="str">
        <f>CONCATENATE(I519," ","(",H519,")","-",N519," ",M519," ",I520," ","(",H520,")","-",N520," ",M520)</f>
        <v>Замена ОПН, разрядников 0 кВ (1Т,2Т типа РВС-35+15 на ОПН-35 типа  ОПНп-110/680/56-10-III УХЛ1)-2 шт. Ремонт выключателей 6-10 кВ (ВМПЭ-10    В 6 яч. СВ 6,В 6 1Т,2Т,яч.19, яч.22,яч.35)-6 шт.</v>
      </c>
      <c r="J518" s="385" t="s">
        <v>365</v>
      </c>
      <c r="K518" s="450">
        <v>44256</v>
      </c>
      <c r="L518" s="450">
        <v>44316</v>
      </c>
      <c r="M518" s="490"/>
      <c r="N518" s="490"/>
      <c r="O518" s="493"/>
      <c r="P518" s="493"/>
      <c r="Q518" s="493"/>
      <c r="R518" s="493"/>
      <c r="S518" s="493"/>
      <c r="T518" s="493"/>
      <c r="U518" s="493"/>
      <c r="V518" s="493"/>
      <c r="W518" s="493"/>
      <c r="X518" s="493"/>
      <c r="Y518" s="493"/>
      <c r="Z518" s="493"/>
      <c r="AA518" s="493"/>
      <c r="AB518" s="493"/>
      <c r="AC518" s="493"/>
      <c r="AD518" s="493"/>
      <c r="AE518" s="493"/>
      <c r="AF518" s="493"/>
      <c r="AG518" s="493"/>
      <c r="AH518" s="493"/>
      <c r="AI518" s="493"/>
      <c r="AJ518" s="493"/>
      <c r="AK518" s="493"/>
      <c r="AL518" s="493"/>
      <c r="AM518" s="493"/>
      <c r="AN518" s="493"/>
      <c r="AO518" s="493"/>
      <c r="AP518" s="493"/>
      <c r="AQ518" s="493"/>
      <c r="AR518" s="493"/>
      <c r="AS518" s="493"/>
      <c r="AT518" s="493"/>
      <c r="AU518" s="493"/>
      <c r="AV518" s="493"/>
      <c r="AW518" s="493"/>
      <c r="AX518" s="493"/>
      <c r="AY518" s="493"/>
      <c r="AZ518" s="493"/>
      <c r="BA518" s="493"/>
      <c r="BB518" s="493"/>
      <c r="BC518" s="493"/>
      <c r="BD518" s="493"/>
      <c r="BE518" s="493"/>
      <c r="BF518" s="493"/>
      <c r="BG518" s="493"/>
      <c r="BH518" s="493"/>
      <c r="BI518" s="493"/>
      <c r="BJ518" s="493"/>
      <c r="BK518" s="493"/>
      <c r="BL518" s="493"/>
      <c r="BM518" s="493"/>
      <c r="BN518" s="493"/>
      <c r="BO518" s="493"/>
      <c r="BP518" s="493"/>
      <c r="BQ518" s="493"/>
      <c r="BR518" s="493"/>
      <c r="BS518" s="493"/>
      <c r="BT518" s="493"/>
      <c r="BU518" s="493"/>
      <c r="BV518" s="493"/>
      <c r="BW518" s="493"/>
      <c r="BX518" s="493"/>
      <c r="BY518" s="493"/>
      <c r="BZ518" s="493"/>
      <c r="CA518" s="493"/>
      <c r="CB518" s="493"/>
      <c r="CC518" s="493"/>
      <c r="CD518" s="493"/>
      <c r="CE518" s="493"/>
      <c r="CF518" s="493"/>
      <c r="CG518" s="493"/>
      <c r="CH518" s="493"/>
      <c r="CI518" s="493"/>
      <c r="CJ518" s="493"/>
      <c r="CK518" s="493"/>
      <c r="CL518" s="493"/>
      <c r="CM518" s="493"/>
      <c r="CN518" s="493"/>
      <c r="CO518" s="493"/>
      <c r="CP518" s="493"/>
      <c r="CQ518" s="493"/>
      <c r="CR518" s="493"/>
      <c r="CS518" s="493"/>
      <c r="CT518" s="493"/>
      <c r="CU518" s="493"/>
      <c r="CV518" s="493"/>
      <c r="CW518" s="493"/>
      <c r="CX518" s="493"/>
      <c r="CY518" s="493"/>
      <c r="CZ518" s="493"/>
      <c r="DA518" s="493"/>
      <c r="DB518" s="493"/>
      <c r="DC518" s="493"/>
      <c r="DD518" s="493"/>
      <c r="DE518" s="493"/>
      <c r="DF518" s="493"/>
      <c r="DG518" s="493"/>
      <c r="DH518" s="493"/>
      <c r="DI518" s="493"/>
      <c r="DJ518" s="493"/>
      <c r="DK518" s="493"/>
      <c r="DL518" s="493"/>
      <c r="DM518" s="493"/>
      <c r="DN518" s="493"/>
      <c r="DO518" s="493"/>
      <c r="DP518" s="493"/>
      <c r="DQ518" s="493"/>
      <c r="DR518" s="493"/>
      <c r="DS518" s="493"/>
      <c r="DT518" s="493"/>
      <c r="DU518" s="493"/>
      <c r="DV518" s="493"/>
      <c r="DW518" s="493"/>
      <c r="DX518" s="493"/>
      <c r="DY518" s="493"/>
      <c r="DZ518" s="493"/>
    </row>
    <row r="519" spans="1:130" ht="54.75" hidden="1" customHeight="1" outlineLevel="2">
      <c r="A519" s="450"/>
      <c r="B519" s="490" t="s">
        <v>237</v>
      </c>
      <c r="C519" s="398" t="s">
        <v>559</v>
      </c>
      <c r="D519" s="399" t="s">
        <v>391</v>
      </c>
      <c r="E519" s="490"/>
      <c r="F519" s="385"/>
      <c r="G519" s="385"/>
      <c r="H519" s="385" t="s">
        <v>761</v>
      </c>
      <c r="I519" s="385" t="s">
        <v>740</v>
      </c>
      <c r="J519" s="489" t="s">
        <v>365</v>
      </c>
      <c r="K519" s="412"/>
      <c r="L519" s="412"/>
      <c r="M519" s="490" t="s">
        <v>37</v>
      </c>
      <c r="N519" s="490">
        <v>2</v>
      </c>
    </row>
    <row r="520" spans="1:130" ht="54.75" hidden="1" customHeight="1" outlineLevel="2">
      <c r="A520" s="438"/>
      <c r="B520" s="490" t="s">
        <v>237</v>
      </c>
      <c r="C520" s="398" t="s">
        <v>559</v>
      </c>
      <c r="D520" s="399" t="s">
        <v>391</v>
      </c>
      <c r="E520" s="490"/>
      <c r="F520" s="385"/>
      <c r="G520" s="385"/>
      <c r="H520" s="385" t="s">
        <v>762</v>
      </c>
      <c r="I520" s="385" t="s">
        <v>191</v>
      </c>
      <c r="J520" s="489" t="s">
        <v>365</v>
      </c>
      <c r="K520" s="412"/>
      <c r="L520" s="412"/>
      <c r="M520" s="490" t="s">
        <v>37</v>
      </c>
      <c r="N520" s="490">
        <v>6</v>
      </c>
    </row>
    <row r="521" spans="1:130" s="405" customFormat="1" ht="162" outlineLevel="1" collapsed="1">
      <c r="A521" s="489" t="s">
        <v>1325</v>
      </c>
      <c r="B521" s="490" t="s">
        <v>237</v>
      </c>
      <c r="C521" s="398" t="s">
        <v>559</v>
      </c>
      <c r="D521" s="399" t="s">
        <v>391</v>
      </c>
      <c r="E521" s="385" t="s">
        <v>770</v>
      </c>
      <c r="F521" s="385" t="s">
        <v>810</v>
      </c>
      <c r="G521" s="385"/>
      <c r="H521" s="401" t="s">
        <v>764</v>
      </c>
      <c r="I521" s="385" t="str">
        <f>CONCATENATE(I522," ","(",H522,")","-",N522," ",M522," ",I523," ","(",H523,")","-",N523," ",M523)</f>
        <v>Ремонт разъединителя 110 кВ (ЛР-110  С-5,С-6,С-23,С-25, ШР-110 С-5, С-6,С-23,С-25, 1Т, 2Т, ОВ 110, 1ТН 110,2ТН 110 , СР 110 1,2, ОШР-110 С-5,С-6,С-23,С-25,ОВ 110 )-20 шт. Замена опорно-стержневых изоляторов разъединителей 110 кВ (ЛР-110  С-5,С-6,С-23,С-25, ШР-110 С-5, С-6,С-23,С-25, 1Т, 2Т, ОВ 110, 1ТН 110,2ТН 110,ОШР-110 С-5,С-6,С-23,С-25,ОВ 110,СР 110 1,СР 110 2)-120 шт.</v>
      </c>
      <c r="J521" s="385" t="s">
        <v>365</v>
      </c>
      <c r="K521" s="450">
        <v>44348</v>
      </c>
      <c r="L521" s="450">
        <v>44408</v>
      </c>
      <c r="M521" s="490"/>
      <c r="N521" s="490"/>
      <c r="O521" s="493"/>
      <c r="P521" s="493"/>
      <c r="Q521" s="493"/>
      <c r="R521" s="493"/>
      <c r="S521" s="493"/>
      <c r="T521" s="493"/>
      <c r="U521" s="493"/>
      <c r="V521" s="493"/>
      <c r="W521" s="493"/>
      <c r="X521" s="493"/>
      <c r="Y521" s="493"/>
      <c r="Z521" s="493"/>
      <c r="AA521" s="493"/>
      <c r="AB521" s="493"/>
      <c r="AC521" s="493"/>
      <c r="AD521" s="493"/>
      <c r="AE521" s="493"/>
      <c r="AF521" s="493"/>
      <c r="AG521" s="493"/>
      <c r="AH521" s="493"/>
      <c r="AI521" s="493"/>
      <c r="AJ521" s="493"/>
      <c r="AK521" s="493"/>
      <c r="AL521" s="493"/>
      <c r="AM521" s="493"/>
      <c r="AN521" s="493"/>
      <c r="AO521" s="493"/>
      <c r="AP521" s="493"/>
      <c r="AQ521" s="493"/>
      <c r="AR521" s="493"/>
      <c r="AS521" s="493"/>
      <c r="AT521" s="493"/>
      <c r="AU521" s="493"/>
      <c r="AV521" s="493"/>
      <c r="AW521" s="493"/>
      <c r="AX521" s="493"/>
      <c r="AY521" s="493"/>
      <c r="AZ521" s="493"/>
      <c r="BA521" s="493"/>
      <c r="BB521" s="493"/>
      <c r="BC521" s="493"/>
      <c r="BD521" s="493"/>
      <c r="BE521" s="493"/>
      <c r="BF521" s="493"/>
      <c r="BG521" s="493"/>
      <c r="BH521" s="493"/>
      <c r="BI521" s="493"/>
      <c r="BJ521" s="493"/>
      <c r="BK521" s="493"/>
      <c r="BL521" s="493"/>
      <c r="BM521" s="493"/>
      <c r="BN521" s="493"/>
      <c r="BO521" s="493"/>
      <c r="BP521" s="493"/>
      <c r="BQ521" s="493"/>
      <c r="BR521" s="493"/>
      <c r="BS521" s="493"/>
      <c r="BT521" s="493"/>
      <c r="BU521" s="493"/>
      <c r="BV521" s="493"/>
      <c r="BW521" s="493"/>
      <c r="BX521" s="493"/>
      <c r="BY521" s="493"/>
      <c r="BZ521" s="493"/>
      <c r="CA521" s="493"/>
      <c r="CB521" s="493"/>
      <c r="CC521" s="493"/>
      <c r="CD521" s="493"/>
      <c r="CE521" s="493"/>
      <c r="CF521" s="493"/>
      <c r="CG521" s="493"/>
      <c r="CH521" s="493"/>
      <c r="CI521" s="493"/>
      <c r="CJ521" s="493"/>
      <c r="CK521" s="493"/>
      <c r="CL521" s="493"/>
      <c r="CM521" s="493"/>
      <c r="CN521" s="493"/>
      <c r="CO521" s="493"/>
      <c r="CP521" s="493"/>
      <c r="CQ521" s="493"/>
      <c r="CR521" s="493"/>
      <c r="CS521" s="493"/>
      <c r="CT521" s="493"/>
      <c r="CU521" s="493"/>
      <c r="CV521" s="493"/>
      <c r="CW521" s="493"/>
      <c r="CX521" s="493"/>
      <c r="CY521" s="493"/>
      <c r="CZ521" s="493"/>
      <c r="DA521" s="493"/>
      <c r="DB521" s="493"/>
      <c r="DC521" s="493"/>
      <c r="DD521" s="493"/>
      <c r="DE521" s="493"/>
      <c r="DF521" s="493"/>
      <c r="DG521" s="493"/>
      <c r="DH521" s="493"/>
      <c r="DI521" s="493"/>
      <c r="DJ521" s="493"/>
      <c r="DK521" s="493"/>
      <c r="DL521" s="493"/>
      <c r="DM521" s="493"/>
      <c r="DN521" s="493"/>
      <c r="DO521" s="493"/>
      <c r="DP521" s="493"/>
      <c r="DQ521" s="493"/>
      <c r="DR521" s="493"/>
      <c r="DS521" s="493"/>
      <c r="DT521" s="493"/>
      <c r="DU521" s="493"/>
      <c r="DV521" s="493"/>
      <c r="DW521" s="493"/>
      <c r="DX521" s="493"/>
      <c r="DY521" s="493"/>
      <c r="DZ521" s="493"/>
    </row>
    <row r="522" spans="1:130" ht="87.75" hidden="1" customHeight="1" outlineLevel="2">
      <c r="A522" s="450"/>
      <c r="B522" s="490" t="s">
        <v>237</v>
      </c>
      <c r="C522" s="398" t="s">
        <v>559</v>
      </c>
      <c r="D522" s="399" t="s">
        <v>391</v>
      </c>
      <c r="E522" s="490"/>
      <c r="F522" s="385"/>
      <c r="G522" s="385"/>
      <c r="H522" s="385" t="s">
        <v>1682</v>
      </c>
      <c r="I522" s="385" t="s">
        <v>469</v>
      </c>
      <c r="J522" s="489" t="s">
        <v>365</v>
      </c>
      <c r="K522" s="412"/>
      <c r="L522" s="412"/>
      <c r="M522" s="490" t="s">
        <v>37</v>
      </c>
      <c r="N522" s="490">
        <v>20</v>
      </c>
    </row>
    <row r="523" spans="1:130" ht="92.25" hidden="1" customHeight="1" outlineLevel="2">
      <c r="A523" s="438"/>
      <c r="B523" s="490" t="s">
        <v>237</v>
      </c>
      <c r="C523" s="398" t="s">
        <v>559</v>
      </c>
      <c r="D523" s="399" t="s">
        <v>391</v>
      </c>
      <c r="E523" s="490"/>
      <c r="F523" s="385"/>
      <c r="G523" s="385"/>
      <c r="H523" s="385" t="s">
        <v>1744</v>
      </c>
      <c r="I523" s="385" t="s">
        <v>119</v>
      </c>
      <c r="J523" s="489" t="s">
        <v>365</v>
      </c>
      <c r="K523" s="412"/>
      <c r="L523" s="412"/>
      <c r="M523" s="490" t="s">
        <v>37</v>
      </c>
      <c r="N523" s="490">
        <v>120</v>
      </c>
    </row>
    <row r="524" spans="1:130" s="405" customFormat="1" ht="121.5" outlineLevel="1" collapsed="1">
      <c r="A524" s="489" t="s">
        <v>1326</v>
      </c>
      <c r="B524" s="490" t="s">
        <v>237</v>
      </c>
      <c r="C524" s="398" t="s">
        <v>559</v>
      </c>
      <c r="D524" s="399" t="s">
        <v>391</v>
      </c>
      <c r="E524" s="490" t="s">
        <v>783</v>
      </c>
      <c r="F524" s="385" t="s">
        <v>3368</v>
      </c>
      <c r="G524" s="385"/>
      <c r="H524" s="401" t="s">
        <v>784</v>
      </c>
      <c r="I524" s="385" t="str">
        <f>CONCATENATE(I525," ","(",H525,")","-",N525," ",M525," ",I526,"  ","(",H526,")","-",N526," ",M526)</f>
        <v>Ремонт выключателей 6-10 кВ (В 6 яч.26 2СВ 6, яч.11)-2 шт. Замена трансформаторов тока 6-10 кВ  (Яч. 2 А, С,Яч. 35 А, С,Яч. 34 А, С)-6 шт.</v>
      </c>
      <c r="J524" s="385" t="s">
        <v>365</v>
      </c>
      <c r="K524" s="450">
        <v>44287</v>
      </c>
      <c r="L524" s="450">
        <v>44104</v>
      </c>
      <c r="M524" s="490"/>
      <c r="N524" s="490"/>
      <c r="O524" s="493"/>
      <c r="P524" s="493"/>
      <c r="Q524" s="493"/>
      <c r="R524" s="493"/>
      <c r="S524" s="493"/>
      <c r="T524" s="493"/>
      <c r="U524" s="493"/>
      <c r="V524" s="493"/>
      <c r="W524" s="493"/>
      <c r="X524" s="493"/>
      <c r="Y524" s="493"/>
      <c r="Z524" s="493"/>
      <c r="AA524" s="493"/>
      <c r="AB524" s="493"/>
      <c r="AC524" s="493"/>
      <c r="AD524" s="493"/>
      <c r="AE524" s="493"/>
      <c r="AF524" s="493"/>
      <c r="AG524" s="493"/>
      <c r="AH524" s="493"/>
      <c r="AI524" s="493"/>
      <c r="AJ524" s="493"/>
      <c r="AK524" s="493"/>
      <c r="AL524" s="493"/>
      <c r="AM524" s="493"/>
      <c r="AN524" s="493"/>
      <c r="AO524" s="493"/>
      <c r="AP524" s="493"/>
      <c r="AQ524" s="493"/>
      <c r="AR524" s="493"/>
      <c r="AS524" s="493"/>
      <c r="AT524" s="493"/>
      <c r="AU524" s="493"/>
      <c r="AV524" s="493"/>
      <c r="AW524" s="493"/>
      <c r="AX524" s="493"/>
      <c r="AY524" s="493"/>
      <c r="AZ524" s="493"/>
      <c r="BA524" s="493"/>
      <c r="BB524" s="493"/>
      <c r="BC524" s="493"/>
      <c r="BD524" s="493"/>
      <c r="BE524" s="493"/>
      <c r="BF524" s="493"/>
      <c r="BG524" s="493"/>
      <c r="BH524" s="493"/>
      <c r="BI524" s="493"/>
      <c r="BJ524" s="493"/>
      <c r="BK524" s="493"/>
      <c r="BL524" s="493"/>
      <c r="BM524" s="493"/>
      <c r="BN524" s="493"/>
      <c r="BO524" s="493"/>
      <c r="BP524" s="493"/>
      <c r="BQ524" s="493"/>
      <c r="BR524" s="493"/>
      <c r="BS524" s="493"/>
      <c r="BT524" s="493"/>
      <c r="BU524" s="493"/>
      <c r="BV524" s="493"/>
      <c r="BW524" s="493"/>
      <c r="BX524" s="493"/>
      <c r="BY524" s="493"/>
      <c r="BZ524" s="493"/>
      <c r="CA524" s="493"/>
      <c r="CB524" s="493"/>
      <c r="CC524" s="493"/>
      <c r="CD524" s="493"/>
      <c r="CE524" s="493"/>
      <c r="CF524" s="493"/>
      <c r="CG524" s="493"/>
      <c r="CH524" s="493"/>
      <c r="CI524" s="493"/>
      <c r="CJ524" s="493"/>
      <c r="CK524" s="493"/>
      <c r="CL524" s="493"/>
      <c r="CM524" s="493"/>
      <c r="CN524" s="493"/>
      <c r="CO524" s="493"/>
      <c r="CP524" s="493"/>
      <c r="CQ524" s="493"/>
      <c r="CR524" s="493"/>
      <c r="CS524" s="493"/>
      <c r="CT524" s="493"/>
      <c r="CU524" s="493"/>
      <c r="CV524" s="493"/>
      <c r="CW524" s="493"/>
      <c r="CX524" s="493"/>
      <c r="CY524" s="493"/>
      <c r="CZ524" s="493"/>
      <c r="DA524" s="493"/>
      <c r="DB524" s="493"/>
      <c r="DC524" s="493"/>
      <c r="DD524" s="493"/>
      <c r="DE524" s="493"/>
      <c r="DF524" s="493"/>
      <c r="DG524" s="493"/>
      <c r="DH524" s="493"/>
      <c r="DI524" s="493"/>
      <c r="DJ524" s="493"/>
      <c r="DK524" s="493"/>
      <c r="DL524" s="493"/>
      <c r="DM524" s="493"/>
      <c r="DN524" s="493"/>
      <c r="DO524" s="493"/>
      <c r="DP524" s="493"/>
      <c r="DQ524" s="493"/>
      <c r="DR524" s="493"/>
      <c r="DS524" s="493"/>
      <c r="DT524" s="493"/>
      <c r="DU524" s="493"/>
      <c r="DV524" s="493"/>
      <c r="DW524" s="493"/>
      <c r="DX524" s="493"/>
      <c r="DY524" s="493"/>
      <c r="DZ524" s="493"/>
    </row>
    <row r="525" spans="1:130" hidden="1" outlineLevel="2">
      <c r="A525" s="438"/>
      <c r="B525" s="490" t="s">
        <v>237</v>
      </c>
      <c r="C525" s="398" t="s">
        <v>559</v>
      </c>
      <c r="D525" s="399" t="s">
        <v>391</v>
      </c>
      <c r="E525" s="490"/>
      <c r="F525" s="385" t="s">
        <v>3369</v>
      </c>
      <c r="G525" s="385"/>
      <c r="H525" s="385" t="s">
        <v>786</v>
      </c>
      <c r="I525" s="385" t="s">
        <v>191</v>
      </c>
      <c r="J525" s="489" t="s">
        <v>365</v>
      </c>
      <c r="K525" s="450">
        <v>44287</v>
      </c>
      <c r="L525" s="450">
        <v>44316</v>
      </c>
      <c r="M525" s="490" t="s">
        <v>37</v>
      </c>
      <c r="N525" s="490">
        <v>2</v>
      </c>
    </row>
    <row r="526" spans="1:130" ht="81" hidden="1" outlineLevel="2">
      <c r="A526" s="438"/>
      <c r="B526" s="490" t="s">
        <v>245</v>
      </c>
      <c r="C526" s="398" t="s">
        <v>559</v>
      </c>
      <c r="D526" s="399" t="s">
        <v>391</v>
      </c>
      <c r="E526" s="490"/>
      <c r="F526" s="385" t="s">
        <v>1470</v>
      </c>
      <c r="G526" s="385"/>
      <c r="H526" s="401" t="s">
        <v>1687</v>
      </c>
      <c r="I526" s="385" t="s">
        <v>967</v>
      </c>
      <c r="J526" s="489" t="s">
        <v>365</v>
      </c>
      <c r="K526" s="450">
        <v>44348</v>
      </c>
      <c r="L526" s="450">
        <v>44439</v>
      </c>
      <c r="M526" s="490" t="s">
        <v>37</v>
      </c>
      <c r="N526" s="490">
        <v>6</v>
      </c>
    </row>
    <row r="527" spans="1:130" s="405" customFormat="1" ht="162" outlineLevel="1" collapsed="1">
      <c r="A527" s="489" t="s">
        <v>1327</v>
      </c>
      <c r="B527" s="490" t="s">
        <v>237</v>
      </c>
      <c r="C527" s="398" t="s">
        <v>559</v>
      </c>
      <c r="D527" s="399" t="s">
        <v>391</v>
      </c>
      <c r="E527" s="490" t="s">
        <v>789</v>
      </c>
      <c r="F527" s="385" t="s">
        <v>810</v>
      </c>
      <c r="G527" s="385"/>
      <c r="H527" s="401" t="s">
        <v>710</v>
      </c>
      <c r="I527" s="385" t="str">
        <f>CONCATENATE(I528," ","(",H528,")","-",N528," ",M528," ",I529," ","(",H529,")","-",N529," ",M529," ",I530," ","(",H530,")","-",N530," ",M530)</f>
        <v>Замена ОПН, разрядников 6 кВ (разрядник 1Т типа РВП-6  на ОПН-6 типа ОПНп-6/680/7,2-10-IV УХЛ1, 2Т типа РВП-6  на ОПН-6 типа ОПНп-6/680/7,2-10-IV УХЛ1)-6 шт. Замена ОПН, разрядников 0 кВ (разрядник 1Т типа РВС-35+15 на ОПН-35 типа   ОПНп-110/680/56-10-III УХЛ1, 2Т типа РВС-35+15 на ОПН-35 типа   ОПНп-110/680/56-10-III УХЛ1)-2 шт. Ремонт выключателей 6-10 кВ (В 6 яч.20,26,35)-3 шт.</v>
      </c>
      <c r="J527" s="385" t="s">
        <v>365</v>
      </c>
      <c r="K527" s="450">
        <v>44287</v>
      </c>
      <c r="L527" s="450">
        <v>44469</v>
      </c>
      <c r="M527" s="490"/>
      <c r="N527" s="490"/>
      <c r="O527" s="493"/>
      <c r="P527" s="493"/>
      <c r="Q527" s="493"/>
      <c r="R527" s="493"/>
      <c r="S527" s="493"/>
      <c r="T527" s="493"/>
      <c r="U527" s="493"/>
      <c r="V527" s="493"/>
      <c r="W527" s="493"/>
      <c r="X527" s="493"/>
      <c r="Y527" s="493"/>
      <c r="Z527" s="493"/>
      <c r="AA527" s="493"/>
      <c r="AB527" s="493"/>
      <c r="AC527" s="493"/>
      <c r="AD527" s="493"/>
      <c r="AE527" s="493"/>
      <c r="AF527" s="493"/>
      <c r="AG527" s="493"/>
      <c r="AH527" s="493"/>
      <c r="AI527" s="493"/>
      <c r="AJ527" s="493"/>
      <c r="AK527" s="493"/>
      <c r="AL527" s="493"/>
      <c r="AM527" s="493"/>
      <c r="AN527" s="493"/>
      <c r="AO527" s="493"/>
      <c r="AP527" s="493"/>
      <c r="AQ527" s="493"/>
      <c r="AR527" s="493"/>
      <c r="AS527" s="493"/>
      <c r="AT527" s="493"/>
      <c r="AU527" s="493"/>
      <c r="AV527" s="493"/>
      <c r="AW527" s="493"/>
      <c r="AX527" s="493"/>
      <c r="AY527" s="493"/>
      <c r="AZ527" s="493"/>
      <c r="BA527" s="493"/>
      <c r="BB527" s="493"/>
      <c r="BC527" s="493"/>
      <c r="BD527" s="493"/>
      <c r="BE527" s="493"/>
      <c r="BF527" s="493"/>
      <c r="BG527" s="493"/>
      <c r="BH527" s="493"/>
      <c r="BI527" s="493"/>
      <c r="BJ527" s="493"/>
      <c r="BK527" s="493"/>
      <c r="BL527" s="493"/>
      <c r="BM527" s="493"/>
      <c r="BN527" s="493"/>
      <c r="BO527" s="493"/>
      <c r="BP527" s="493"/>
      <c r="BQ527" s="493"/>
      <c r="BR527" s="493"/>
      <c r="BS527" s="493"/>
      <c r="BT527" s="493"/>
      <c r="BU527" s="493"/>
      <c r="BV527" s="493"/>
      <c r="BW527" s="493"/>
      <c r="BX527" s="493"/>
      <c r="BY527" s="493"/>
      <c r="BZ527" s="493"/>
      <c r="CA527" s="493"/>
      <c r="CB527" s="493"/>
      <c r="CC527" s="493"/>
      <c r="CD527" s="493"/>
      <c r="CE527" s="493"/>
      <c r="CF527" s="493"/>
      <c r="CG527" s="493"/>
      <c r="CH527" s="493"/>
      <c r="CI527" s="493"/>
      <c r="CJ527" s="493"/>
      <c r="CK527" s="493"/>
      <c r="CL527" s="493"/>
      <c r="CM527" s="493"/>
      <c r="CN527" s="493"/>
      <c r="CO527" s="493"/>
      <c r="CP527" s="493"/>
      <c r="CQ527" s="493"/>
      <c r="CR527" s="493"/>
      <c r="CS527" s="493"/>
      <c r="CT527" s="493"/>
      <c r="CU527" s="493"/>
      <c r="CV527" s="493"/>
      <c r="CW527" s="493"/>
      <c r="CX527" s="493"/>
      <c r="CY527" s="493"/>
      <c r="CZ527" s="493"/>
      <c r="DA527" s="493"/>
      <c r="DB527" s="493"/>
      <c r="DC527" s="493"/>
      <c r="DD527" s="493"/>
      <c r="DE527" s="493"/>
      <c r="DF527" s="493"/>
      <c r="DG527" s="493"/>
      <c r="DH527" s="493"/>
      <c r="DI527" s="493"/>
      <c r="DJ527" s="493"/>
      <c r="DK527" s="493"/>
      <c r="DL527" s="493"/>
      <c r="DM527" s="493"/>
      <c r="DN527" s="493"/>
      <c r="DO527" s="493"/>
      <c r="DP527" s="493"/>
      <c r="DQ527" s="493"/>
      <c r="DR527" s="493"/>
      <c r="DS527" s="493"/>
      <c r="DT527" s="493"/>
      <c r="DU527" s="493"/>
      <c r="DV527" s="493"/>
      <c r="DW527" s="493"/>
      <c r="DX527" s="493"/>
      <c r="DY527" s="493"/>
      <c r="DZ527" s="493"/>
    </row>
    <row r="528" spans="1:130" ht="88.5" hidden="1" customHeight="1" outlineLevel="2">
      <c r="A528" s="438"/>
      <c r="B528" s="490" t="s">
        <v>237</v>
      </c>
      <c r="C528" s="398" t="s">
        <v>559</v>
      </c>
      <c r="D528" s="399" t="s">
        <v>391</v>
      </c>
      <c r="E528" s="490"/>
      <c r="F528" s="385"/>
      <c r="G528" s="385"/>
      <c r="H528" s="385" t="s">
        <v>793</v>
      </c>
      <c r="I528" s="385" t="s">
        <v>791</v>
      </c>
      <c r="J528" s="489" t="s">
        <v>365</v>
      </c>
      <c r="K528" s="450">
        <v>44287</v>
      </c>
      <c r="L528" s="450">
        <v>44316</v>
      </c>
      <c r="M528" s="490" t="s">
        <v>37</v>
      </c>
      <c r="N528" s="490">
        <v>6</v>
      </c>
    </row>
    <row r="529" spans="1:130" ht="92.25" hidden="1" customHeight="1" outlineLevel="2">
      <c r="A529" s="450"/>
      <c r="B529" s="490" t="s">
        <v>237</v>
      </c>
      <c r="C529" s="398" t="s">
        <v>559</v>
      </c>
      <c r="D529" s="399" t="s">
        <v>391</v>
      </c>
      <c r="E529" s="490"/>
      <c r="F529" s="385"/>
      <c r="G529" s="385"/>
      <c r="H529" s="385" t="s">
        <v>792</v>
      </c>
      <c r="I529" s="385" t="s">
        <v>740</v>
      </c>
      <c r="J529" s="489" t="s">
        <v>365</v>
      </c>
      <c r="K529" s="450">
        <v>44287</v>
      </c>
      <c r="L529" s="450">
        <v>44316</v>
      </c>
      <c r="M529" s="490" t="s">
        <v>37</v>
      </c>
      <c r="N529" s="490">
        <v>2</v>
      </c>
    </row>
    <row r="530" spans="1:130" ht="34.5" hidden="1" customHeight="1" outlineLevel="2">
      <c r="A530" s="438"/>
      <c r="B530" s="490" t="s">
        <v>237</v>
      </c>
      <c r="C530" s="398" t="s">
        <v>559</v>
      </c>
      <c r="D530" s="399" t="s">
        <v>391</v>
      </c>
      <c r="E530" s="490"/>
      <c r="F530" s="385"/>
      <c r="G530" s="385"/>
      <c r="H530" s="385" t="s">
        <v>790</v>
      </c>
      <c r="I530" s="385" t="s">
        <v>191</v>
      </c>
      <c r="J530" s="489" t="s">
        <v>365</v>
      </c>
      <c r="K530" s="450">
        <v>44440</v>
      </c>
      <c r="L530" s="450">
        <v>44469</v>
      </c>
      <c r="M530" s="490" t="s">
        <v>37</v>
      </c>
      <c r="N530" s="490">
        <v>3</v>
      </c>
    </row>
    <row r="531" spans="1:130" s="405" customFormat="1" ht="40.5" outlineLevel="1" collapsed="1">
      <c r="A531" s="489" t="s">
        <v>1328</v>
      </c>
      <c r="B531" s="490" t="s">
        <v>237</v>
      </c>
      <c r="C531" s="398" t="s">
        <v>559</v>
      </c>
      <c r="D531" s="399" t="s">
        <v>391</v>
      </c>
      <c r="E531" s="490" t="s">
        <v>794</v>
      </c>
      <c r="F531" s="385" t="s">
        <v>810</v>
      </c>
      <c r="G531" s="385"/>
      <c r="H531" s="401" t="s">
        <v>795</v>
      </c>
      <c r="I531" s="385" t="str">
        <f>CONCATENATE(I532," ","(",H532,")","-",N532," ",M532," ",I533," ","(",H533,")","-",N533," ",M533)</f>
        <v>Ремонт выключателей 6-10 кВ (В 6 яч.4)-1 шт. Замена трансформаторов тока 6-10 кВ (Яч. 47 А, С)-2 шт.</v>
      </c>
      <c r="J531" s="385" t="s">
        <v>365</v>
      </c>
      <c r="K531" s="450">
        <v>44228</v>
      </c>
      <c r="L531" s="450">
        <v>44439</v>
      </c>
      <c r="M531" s="490"/>
      <c r="N531" s="490"/>
      <c r="O531" s="493"/>
      <c r="P531" s="493"/>
      <c r="Q531" s="493"/>
      <c r="R531" s="493"/>
      <c r="S531" s="493"/>
      <c r="T531" s="493"/>
      <c r="U531" s="493"/>
      <c r="V531" s="493"/>
      <c r="W531" s="493"/>
      <c r="X531" s="493"/>
      <c r="Y531" s="493"/>
      <c r="Z531" s="493"/>
      <c r="AA531" s="493"/>
      <c r="AB531" s="493"/>
      <c r="AC531" s="493"/>
      <c r="AD531" s="493"/>
      <c r="AE531" s="493"/>
      <c r="AF531" s="493"/>
      <c r="AG531" s="493"/>
      <c r="AH531" s="493"/>
      <c r="AI531" s="493"/>
      <c r="AJ531" s="493"/>
      <c r="AK531" s="493"/>
      <c r="AL531" s="493"/>
      <c r="AM531" s="493"/>
      <c r="AN531" s="493"/>
      <c r="AO531" s="493"/>
      <c r="AP531" s="493"/>
      <c r="AQ531" s="493"/>
      <c r="AR531" s="493"/>
      <c r="AS531" s="493"/>
      <c r="AT531" s="493"/>
      <c r="AU531" s="493"/>
      <c r="AV531" s="493"/>
      <c r="AW531" s="493"/>
      <c r="AX531" s="493"/>
      <c r="AY531" s="493"/>
      <c r="AZ531" s="493"/>
      <c r="BA531" s="493"/>
      <c r="BB531" s="493"/>
      <c r="BC531" s="493"/>
      <c r="BD531" s="493"/>
      <c r="BE531" s="493"/>
      <c r="BF531" s="493"/>
      <c r="BG531" s="493"/>
      <c r="BH531" s="493"/>
      <c r="BI531" s="493"/>
      <c r="BJ531" s="493"/>
      <c r="BK531" s="493"/>
      <c r="BL531" s="493"/>
      <c r="BM531" s="493"/>
      <c r="BN531" s="493"/>
      <c r="BO531" s="493"/>
      <c r="BP531" s="493"/>
      <c r="BQ531" s="493"/>
      <c r="BR531" s="493"/>
      <c r="BS531" s="493"/>
      <c r="BT531" s="493"/>
      <c r="BU531" s="493"/>
      <c r="BV531" s="493"/>
      <c r="BW531" s="493"/>
      <c r="BX531" s="493"/>
      <c r="BY531" s="493"/>
      <c r="BZ531" s="493"/>
      <c r="CA531" s="493"/>
      <c r="CB531" s="493"/>
      <c r="CC531" s="493"/>
      <c r="CD531" s="493"/>
      <c r="CE531" s="493"/>
      <c r="CF531" s="493"/>
      <c r="CG531" s="493"/>
      <c r="CH531" s="493"/>
      <c r="CI531" s="493"/>
      <c r="CJ531" s="493"/>
      <c r="CK531" s="493"/>
      <c r="CL531" s="493"/>
      <c r="CM531" s="493"/>
      <c r="CN531" s="493"/>
      <c r="CO531" s="493"/>
      <c r="CP531" s="493"/>
      <c r="CQ531" s="493"/>
      <c r="CR531" s="493"/>
      <c r="CS531" s="493"/>
      <c r="CT531" s="493"/>
      <c r="CU531" s="493"/>
      <c r="CV531" s="493"/>
      <c r="CW531" s="493"/>
      <c r="CX531" s="493"/>
      <c r="CY531" s="493"/>
      <c r="CZ531" s="493"/>
      <c r="DA531" s="493"/>
      <c r="DB531" s="493"/>
      <c r="DC531" s="493"/>
      <c r="DD531" s="493"/>
      <c r="DE531" s="493"/>
      <c r="DF531" s="493"/>
      <c r="DG531" s="493"/>
      <c r="DH531" s="493"/>
      <c r="DI531" s="493"/>
      <c r="DJ531" s="493"/>
      <c r="DK531" s="493"/>
      <c r="DL531" s="493"/>
      <c r="DM531" s="493"/>
      <c r="DN531" s="493"/>
      <c r="DO531" s="493"/>
      <c r="DP531" s="493"/>
      <c r="DQ531" s="493"/>
      <c r="DR531" s="493"/>
      <c r="DS531" s="493"/>
      <c r="DT531" s="493"/>
      <c r="DU531" s="493"/>
      <c r="DV531" s="493"/>
      <c r="DW531" s="493"/>
      <c r="DX531" s="493"/>
      <c r="DY531" s="493"/>
      <c r="DZ531" s="493"/>
    </row>
    <row r="532" spans="1:130" ht="81" hidden="1" outlineLevel="2">
      <c r="A532" s="438"/>
      <c r="B532" s="490" t="s">
        <v>237</v>
      </c>
      <c r="C532" s="398" t="s">
        <v>559</v>
      </c>
      <c r="D532" s="399" t="s">
        <v>391</v>
      </c>
      <c r="E532" s="490"/>
      <c r="F532" s="385" t="s">
        <v>1470</v>
      </c>
      <c r="G532" s="385"/>
      <c r="H532" s="385" t="s">
        <v>796</v>
      </c>
      <c r="I532" s="385" t="s">
        <v>191</v>
      </c>
      <c r="J532" s="489" t="s">
        <v>365</v>
      </c>
      <c r="K532" s="412"/>
      <c r="L532" s="412"/>
      <c r="M532" s="490" t="s">
        <v>37</v>
      </c>
      <c r="N532" s="490">
        <v>1</v>
      </c>
    </row>
    <row r="533" spans="1:130" hidden="1" outlineLevel="2">
      <c r="A533" s="438"/>
      <c r="B533" s="490" t="s">
        <v>237</v>
      </c>
      <c r="C533" s="398" t="s">
        <v>559</v>
      </c>
      <c r="D533" s="399" t="s">
        <v>391</v>
      </c>
      <c r="E533" s="385"/>
      <c r="F533" s="400"/>
      <c r="G533" s="385"/>
      <c r="H533" s="401" t="s">
        <v>3722</v>
      </c>
      <c r="I533" s="385" t="s">
        <v>967</v>
      </c>
      <c r="J533" s="489" t="s">
        <v>365</v>
      </c>
      <c r="K533" s="412"/>
      <c r="L533" s="412"/>
      <c r="M533" s="490" t="s">
        <v>37</v>
      </c>
      <c r="N533" s="490">
        <v>2</v>
      </c>
    </row>
    <row r="534" spans="1:130" s="405" customFormat="1" ht="121.5" outlineLevel="1" collapsed="1">
      <c r="A534" s="489" t="s">
        <v>1329</v>
      </c>
      <c r="B534" s="490" t="s">
        <v>237</v>
      </c>
      <c r="C534" s="398" t="s">
        <v>559</v>
      </c>
      <c r="D534" s="399" t="s">
        <v>391</v>
      </c>
      <c r="E534" s="490" t="s">
        <v>799</v>
      </c>
      <c r="F534" s="385" t="s">
        <v>3368</v>
      </c>
      <c r="G534" s="385"/>
      <c r="H534" s="401" t="s">
        <v>800</v>
      </c>
      <c r="I534" s="385" t="str">
        <f>CONCATENATE(I535," ","(",H535,")","-",N535," ",M535," ",I536,"  ","(",H536,")","-",N536," ",M536)</f>
        <v>Ремонт выключателей 6-10 кВ (В 6 яч.1тсн1,13,23,35тсн2)-4 шт. Замена трансформаторов тока 6-10 кВ  (Яч. 9 А, С, Яч. 6 А, С, Яч. 8 А, С, Яч. 27 А, С)-8 шт.</v>
      </c>
      <c r="J534" s="385" t="s">
        <v>365</v>
      </c>
      <c r="K534" s="450">
        <v>44348</v>
      </c>
      <c r="L534" s="450">
        <v>44530</v>
      </c>
      <c r="M534" s="490"/>
      <c r="N534" s="490"/>
      <c r="O534" s="493"/>
      <c r="P534" s="493"/>
      <c r="Q534" s="493"/>
      <c r="R534" s="493"/>
      <c r="S534" s="493"/>
      <c r="T534" s="493"/>
      <c r="U534" s="493"/>
      <c r="V534" s="493"/>
      <c r="W534" s="493"/>
      <c r="X534" s="493"/>
      <c r="Y534" s="493"/>
      <c r="Z534" s="493"/>
      <c r="AA534" s="493"/>
      <c r="AB534" s="493"/>
      <c r="AC534" s="493"/>
      <c r="AD534" s="493"/>
      <c r="AE534" s="493"/>
      <c r="AF534" s="493"/>
      <c r="AG534" s="493"/>
      <c r="AH534" s="493"/>
      <c r="AI534" s="493"/>
      <c r="AJ534" s="493"/>
      <c r="AK534" s="493"/>
      <c r="AL534" s="493"/>
      <c r="AM534" s="493"/>
      <c r="AN534" s="493"/>
      <c r="AO534" s="493"/>
      <c r="AP534" s="493"/>
      <c r="AQ534" s="493"/>
      <c r="AR534" s="493"/>
      <c r="AS534" s="493"/>
      <c r="AT534" s="493"/>
      <c r="AU534" s="493"/>
      <c r="AV534" s="493"/>
      <c r="AW534" s="493"/>
      <c r="AX534" s="493"/>
      <c r="AY534" s="493"/>
      <c r="AZ534" s="493"/>
      <c r="BA534" s="493"/>
      <c r="BB534" s="493"/>
      <c r="BC534" s="493"/>
      <c r="BD534" s="493"/>
      <c r="BE534" s="493"/>
      <c r="BF534" s="493"/>
      <c r="BG534" s="493"/>
      <c r="BH534" s="493"/>
      <c r="BI534" s="493"/>
      <c r="BJ534" s="493"/>
      <c r="BK534" s="493"/>
      <c r="BL534" s="493"/>
      <c r="BM534" s="493"/>
      <c r="BN534" s="493"/>
      <c r="BO534" s="493"/>
      <c r="BP534" s="493"/>
      <c r="BQ534" s="493"/>
      <c r="BR534" s="493"/>
      <c r="BS534" s="493"/>
      <c r="BT534" s="493"/>
      <c r="BU534" s="493"/>
      <c r="BV534" s="493"/>
      <c r="BW534" s="493"/>
      <c r="BX534" s="493"/>
      <c r="BY534" s="493"/>
      <c r="BZ534" s="493"/>
      <c r="CA534" s="493"/>
      <c r="CB534" s="493"/>
      <c r="CC534" s="493"/>
      <c r="CD534" s="493"/>
      <c r="CE534" s="493"/>
      <c r="CF534" s="493"/>
      <c r="CG534" s="493"/>
      <c r="CH534" s="493"/>
      <c r="CI534" s="493"/>
      <c r="CJ534" s="493"/>
      <c r="CK534" s="493"/>
      <c r="CL534" s="493"/>
      <c r="CM534" s="493"/>
      <c r="CN534" s="493"/>
      <c r="CO534" s="493"/>
      <c r="CP534" s="493"/>
      <c r="CQ534" s="493"/>
      <c r="CR534" s="493"/>
      <c r="CS534" s="493"/>
      <c r="CT534" s="493"/>
      <c r="CU534" s="493"/>
      <c r="CV534" s="493"/>
      <c r="CW534" s="493"/>
      <c r="CX534" s="493"/>
      <c r="CY534" s="493"/>
      <c r="CZ534" s="493"/>
      <c r="DA534" s="493"/>
      <c r="DB534" s="493"/>
      <c r="DC534" s="493"/>
      <c r="DD534" s="493"/>
      <c r="DE534" s="493"/>
      <c r="DF534" s="493"/>
      <c r="DG534" s="493"/>
      <c r="DH534" s="493"/>
      <c r="DI534" s="493"/>
      <c r="DJ534" s="493"/>
      <c r="DK534" s="493"/>
      <c r="DL534" s="493"/>
      <c r="DM534" s="493"/>
      <c r="DN534" s="493"/>
      <c r="DO534" s="493"/>
      <c r="DP534" s="493"/>
      <c r="DQ534" s="493"/>
      <c r="DR534" s="493"/>
      <c r="DS534" s="493"/>
      <c r="DT534" s="493"/>
      <c r="DU534" s="493"/>
      <c r="DV534" s="493"/>
      <c r="DW534" s="493"/>
      <c r="DX534" s="493"/>
      <c r="DY534" s="493"/>
      <c r="DZ534" s="493"/>
    </row>
    <row r="535" spans="1:130" hidden="1" outlineLevel="2">
      <c r="A535" s="438"/>
      <c r="B535" s="490" t="s">
        <v>237</v>
      </c>
      <c r="C535" s="398" t="s">
        <v>559</v>
      </c>
      <c r="D535" s="399" t="s">
        <v>391</v>
      </c>
      <c r="E535" s="490"/>
      <c r="F535" s="385"/>
      <c r="G535" s="385"/>
      <c r="H535" s="385" t="s">
        <v>801</v>
      </c>
      <c r="I535" s="385" t="s">
        <v>191</v>
      </c>
      <c r="J535" s="489" t="s">
        <v>365</v>
      </c>
      <c r="K535" s="450">
        <v>44501</v>
      </c>
      <c r="L535" s="450">
        <v>44530</v>
      </c>
      <c r="M535" s="490" t="s">
        <v>37</v>
      </c>
      <c r="N535" s="490">
        <v>4</v>
      </c>
    </row>
    <row r="536" spans="1:130" ht="81" hidden="1" outlineLevel="2">
      <c r="A536" s="438"/>
      <c r="B536" s="490" t="s">
        <v>245</v>
      </c>
      <c r="C536" s="398" t="s">
        <v>559</v>
      </c>
      <c r="D536" s="399" t="s">
        <v>391</v>
      </c>
      <c r="E536" s="490"/>
      <c r="F536" s="385" t="s">
        <v>1470</v>
      </c>
      <c r="G536" s="385"/>
      <c r="H536" s="401" t="s">
        <v>1688</v>
      </c>
      <c r="I536" s="385" t="s">
        <v>967</v>
      </c>
      <c r="J536" s="489" t="s">
        <v>365</v>
      </c>
      <c r="K536" s="450">
        <v>44348</v>
      </c>
      <c r="L536" s="450">
        <v>44438</v>
      </c>
      <c r="M536" s="490" t="s">
        <v>37</v>
      </c>
      <c r="N536" s="490">
        <v>8</v>
      </c>
    </row>
    <row r="537" spans="1:130" s="405" customFormat="1" ht="60.75" outlineLevel="1" collapsed="1">
      <c r="A537" s="489" t="s">
        <v>1330</v>
      </c>
      <c r="B537" s="490" t="s">
        <v>237</v>
      </c>
      <c r="C537" s="398" t="s">
        <v>607</v>
      </c>
      <c r="D537" s="399" t="s">
        <v>391</v>
      </c>
      <c r="E537" s="490" t="s">
        <v>466</v>
      </c>
      <c r="F537" s="385" t="s">
        <v>810</v>
      </c>
      <c r="G537" s="385"/>
      <c r="H537" s="401" t="s">
        <v>695</v>
      </c>
      <c r="I537" s="385" t="str">
        <f>CONCATENATE(I538," ","(",H538,")","-",N538," ",M538)</f>
        <v>Ремонт разъединителя 110 кВ (ШР 110 1Т, ШР 110 2Т, СР 110 1с, СР 110 2с, ШР 110 С-36, ЛР 110 С-36, ЛР 110 С-35)-7 шт.</v>
      </c>
      <c r="J537" s="385" t="s">
        <v>365</v>
      </c>
      <c r="K537" s="450">
        <v>44378</v>
      </c>
      <c r="L537" s="450">
        <v>44469</v>
      </c>
      <c r="M537" s="490"/>
      <c r="N537" s="490"/>
      <c r="O537" s="493"/>
      <c r="P537" s="493"/>
      <c r="Q537" s="493"/>
      <c r="R537" s="493"/>
      <c r="S537" s="493"/>
      <c r="T537" s="493"/>
      <c r="U537" s="493"/>
      <c r="V537" s="493"/>
      <c r="W537" s="493"/>
      <c r="X537" s="493"/>
      <c r="Y537" s="493"/>
      <c r="Z537" s="493"/>
      <c r="AA537" s="493"/>
      <c r="AB537" s="493"/>
      <c r="AC537" s="493"/>
      <c r="AD537" s="493"/>
      <c r="AE537" s="493"/>
      <c r="AF537" s="493"/>
      <c r="AG537" s="493"/>
      <c r="AH537" s="493"/>
      <c r="AI537" s="493"/>
      <c r="AJ537" s="493"/>
      <c r="AK537" s="493"/>
      <c r="AL537" s="493"/>
      <c r="AM537" s="493"/>
      <c r="AN537" s="493"/>
      <c r="AO537" s="493"/>
      <c r="AP537" s="493"/>
      <c r="AQ537" s="493"/>
      <c r="AR537" s="493"/>
      <c r="AS537" s="493"/>
      <c r="AT537" s="493"/>
      <c r="AU537" s="493"/>
      <c r="AV537" s="493"/>
      <c r="AW537" s="493"/>
      <c r="AX537" s="493"/>
      <c r="AY537" s="493"/>
      <c r="AZ537" s="493"/>
      <c r="BA537" s="493"/>
      <c r="BB537" s="493"/>
      <c r="BC537" s="493"/>
      <c r="BD537" s="493"/>
      <c r="BE537" s="493"/>
      <c r="BF537" s="493"/>
      <c r="BG537" s="493"/>
      <c r="BH537" s="493"/>
      <c r="BI537" s="493"/>
      <c r="BJ537" s="493"/>
      <c r="BK537" s="493"/>
      <c r="BL537" s="493"/>
      <c r="BM537" s="493"/>
      <c r="BN537" s="493"/>
      <c r="BO537" s="493"/>
      <c r="BP537" s="493"/>
      <c r="BQ537" s="493"/>
      <c r="BR537" s="493"/>
      <c r="BS537" s="493"/>
      <c r="BT537" s="493"/>
      <c r="BU537" s="493"/>
      <c r="BV537" s="493"/>
      <c r="BW537" s="493"/>
      <c r="BX537" s="493"/>
      <c r="BY537" s="493"/>
      <c r="BZ537" s="493"/>
      <c r="CA537" s="493"/>
      <c r="CB537" s="493"/>
      <c r="CC537" s="493"/>
      <c r="CD537" s="493"/>
      <c r="CE537" s="493"/>
      <c r="CF537" s="493"/>
      <c r="CG537" s="493"/>
      <c r="CH537" s="493"/>
      <c r="CI537" s="493"/>
      <c r="CJ537" s="493"/>
      <c r="CK537" s="493"/>
      <c r="CL537" s="493"/>
      <c r="CM537" s="493"/>
      <c r="CN537" s="493"/>
      <c r="CO537" s="493"/>
      <c r="CP537" s="493"/>
      <c r="CQ537" s="493"/>
      <c r="CR537" s="493"/>
      <c r="CS537" s="493"/>
      <c r="CT537" s="493"/>
      <c r="CU537" s="493"/>
      <c r="CV537" s="493"/>
      <c r="CW537" s="493"/>
      <c r="CX537" s="493"/>
      <c r="CY537" s="493"/>
      <c r="CZ537" s="493"/>
      <c r="DA537" s="493"/>
      <c r="DB537" s="493"/>
      <c r="DC537" s="493"/>
      <c r="DD537" s="493"/>
      <c r="DE537" s="493"/>
      <c r="DF537" s="493"/>
      <c r="DG537" s="493"/>
      <c r="DH537" s="493"/>
      <c r="DI537" s="493"/>
      <c r="DJ537" s="493"/>
      <c r="DK537" s="493"/>
      <c r="DL537" s="493"/>
      <c r="DM537" s="493"/>
      <c r="DN537" s="493"/>
      <c r="DO537" s="493"/>
      <c r="DP537" s="493"/>
      <c r="DQ537" s="493"/>
      <c r="DR537" s="493"/>
      <c r="DS537" s="493"/>
      <c r="DT537" s="493"/>
      <c r="DU537" s="493"/>
      <c r="DV537" s="493"/>
      <c r="DW537" s="493"/>
      <c r="DX537" s="493"/>
      <c r="DY537" s="493"/>
      <c r="DZ537" s="493"/>
    </row>
    <row r="538" spans="1:130" ht="60.75" hidden="1" outlineLevel="2">
      <c r="A538" s="438"/>
      <c r="B538" s="490" t="s">
        <v>237</v>
      </c>
      <c r="C538" s="398" t="s">
        <v>607</v>
      </c>
      <c r="D538" s="399" t="s">
        <v>391</v>
      </c>
      <c r="E538" s="490"/>
      <c r="F538" s="385"/>
      <c r="G538" s="385"/>
      <c r="H538" s="385" t="s">
        <v>696</v>
      </c>
      <c r="I538" s="385" t="s">
        <v>469</v>
      </c>
      <c r="J538" s="489" t="s">
        <v>365</v>
      </c>
      <c r="K538" s="412"/>
      <c r="L538" s="412"/>
      <c r="M538" s="490" t="s">
        <v>37</v>
      </c>
      <c r="N538" s="490">
        <v>7</v>
      </c>
    </row>
    <row r="539" spans="1:130" s="405" customFormat="1" ht="101.25" outlineLevel="1" collapsed="1">
      <c r="A539" s="489" t="s">
        <v>1760</v>
      </c>
      <c r="B539" s="490" t="s">
        <v>237</v>
      </c>
      <c r="C539" s="398" t="s">
        <v>607</v>
      </c>
      <c r="D539" s="399" t="s">
        <v>391</v>
      </c>
      <c r="E539" s="490" t="s">
        <v>645</v>
      </c>
      <c r="F539" s="385" t="s">
        <v>810</v>
      </c>
      <c r="G539" s="385"/>
      <c r="H539" s="401" t="s">
        <v>646</v>
      </c>
      <c r="I539" s="385" t="str">
        <f>CONCATENATE(I540," ","(",H540,")","-",N540," ",M540," ",I543,"  ","(",H543,")","-",N543," ",M543," ",I541," ","(",H541,")","-",N541," ",M541," ",I542," ","(",H542,")","-",N542," ",M542," ",I544," ","(",H544,")","-",N544," ",M544)</f>
        <v>Ремонт отделителя 110 кВ (ОД 110 1Т)-1 шт. Замена изолятора опорного  (ИО-10-3,75 II У3 )-6 шт. Ремонт короткозамыкателя 110 кВ (КЗ 110 1Т)-1 шт. Замена ОПН, разрядников 10 кВ (ОПН 10 1Т)-3 шт. Замена предохранителя (ПКТ 101-10-10-12,5 УЗ)-3 шт.</v>
      </c>
      <c r="J539" s="385" t="s">
        <v>365</v>
      </c>
      <c r="K539" s="450">
        <v>44409</v>
      </c>
      <c r="L539" s="450">
        <v>44439</v>
      </c>
      <c r="M539" s="490"/>
      <c r="N539" s="490"/>
      <c r="O539" s="493"/>
      <c r="P539" s="493"/>
      <c r="Q539" s="493"/>
      <c r="R539" s="493"/>
      <c r="S539" s="493"/>
      <c r="T539" s="493"/>
      <c r="U539" s="493"/>
      <c r="V539" s="493"/>
      <c r="W539" s="493"/>
      <c r="X539" s="493"/>
      <c r="Y539" s="493"/>
      <c r="Z539" s="493"/>
      <c r="AA539" s="493"/>
      <c r="AB539" s="493"/>
      <c r="AC539" s="493"/>
      <c r="AD539" s="493"/>
      <c r="AE539" s="493"/>
      <c r="AF539" s="493"/>
      <c r="AG539" s="493"/>
      <c r="AH539" s="493"/>
      <c r="AI539" s="493"/>
      <c r="AJ539" s="493"/>
      <c r="AK539" s="493"/>
      <c r="AL539" s="493"/>
      <c r="AM539" s="493"/>
      <c r="AN539" s="493"/>
      <c r="AO539" s="493"/>
      <c r="AP539" s="493"/>
      <c r="AQ539" s="493"/>
      <c r="AR539" s="493"/>
      <c r="AS539" s="493"/>
      <c r="AT539" s="493"/>
      <c r="AU539" s="493"/>
      <c r="AV539" s="493"/>
      <c r="AW539" s="493"/>
      <c r="AX539" s="493"/>
      <c r="AY539" s="493"/>
      <c r="AZ539" s="493"/>
      <c r="BA539" s="493"/>
      <c r="BB539" s="493"/>
      <c r="BC539" s="493"/>
      <c r="BD539" s="493"/>
      <c r="BE539" s="493"/>
      <c r="BF539" s="493"/>
      <c r="BG539" s="493"/>
      <c r="BH539" s="493"/>
      <c r="BI539" s="493"/>
      <c r="BJ539" s="493"/>
      <c r="BK539" s="493"/>
      <c r="BL539" s="493"/>
      <c r="BM539" s="493"/>
      <c r="BN539" s="493"/>
      <c r="BO539" s="493"/>
      <c r="BP539" s="493"/>
      <c r="BQ539" s="493"/>
      <c r="BR539" s="493"/>
      <c r="BS539" s="493"/>
      <c r="BT539" s="493"/>
      <c r="BU539" s="493"/>
      <c r="BV539" s="493"/>
      <c r="BW539" s="493"/>
      <c r="BX539" s="493"/>
      <c r="BY539" s="493"/>
      <c r="BZ539" s="493"/>
      <c r="CA539" s="493"/>
      <c r="CB539" s="493"/>
      <c r="CC539" s="493"/>
      <c r="CD539" s="493"/>
      <c r="CE539" s="493"/>
      <c r="CF539" s="493"/>
      <c r="CG539" s="493"/>
      <c r="CH539" s="493"/>
      <c r="CI539" s="493"/>
      <c r="CJ539" s="493"/>
      <c r="CK539" s="493"/>
      <c r="CL539" s="493"/>
      <c r="CM539" s="493"/>
      <c r="CN539" s="493"/>
      <c r="CO539" s="493"/>
      <c r="CP539" s="493"/>
      <c r="CQ539" s="493"/>
      <c r="CR539" s="493"/>
      <c r="CS539" s="493"/>
      <c r="CT539" s="493"/>
      <c r="CU539" s="493"/>
      <c r="CV539" s="493"/>
      <c r="CW539" s="493"/>
      <c r="CX539" s="493"/>
      <c r="CY539" s="493"/>
      <c r="CZ539" s="493"/>
      <c r="DA539" s="493"/>
      <c r="DB539" s="493"/>
      <c r="DC539" s="493"/>
      <c r="DD539" s="493"/>
      <c r="DE539" s="493"/>
      <c r="DF539" s="493"/>
      <c r="DG539" s="493"/>
      <c r="DH539" s="493"/>
      <c r="DI539" s="493"/>
      <c r="DJ539" s="493"/>
      <c r="DK539" s="493"/>
      <c r="DL539" s="493"/>
      <c r="DM539" s="493"/>
      <c r="DN539" s="493"/>
      <c r="DO539" s="493"/>
      <c r="DP539" s="493"/>
      <c r="DQ539" s="493"/>
      <c r="DR539" s="493"/>
      <c r="DS539" s="493"/>
      <c r="DT539" s="493"/>
      <c r="DU539" s="493"/>
      <c r="DV539" s="493"/>
      <c r="DW539" s="493"/>
      <c r="DX539" s="493"/>
      <c r="DY539" s="493"/>
      <c r="DZ539" s="493"/>
    </row>
    <row r="540" spans="1:130" hidden="1" outlineLevel="2">
      <c r="A540" s="438"/>
      <c r="B540" s="490" t="s">
        <v>237</v>
      </c>
      <c r="C540" s="398" t="s">
        <v>607</v>
      </c>
      <c r="D540" s="399" t="s">
        <v>391</v>
      </c>
      <c r="E540" s="490"/>
      <c r="F540" s="385"/>
      <c r="G540" s="385"/>
      <c r="H540" s="385" t="s">
        <v>647</v>
      </c>
      <c r="I540" s="385" t="s">
        <v>473</v>
      </c>
      <c r="J540" s="489" t="s">
        <v>365</v>
      </c>
      <c r="K540" s="412"/>
      <c r="L540" s="412"/>
      <c r="M540" s="490" t="s">
        <v>37</v>
      </c>
      <c r="N540" s="490">
        <v>1</v>
      </c>
    </row>
    <row r="541" spans="1:130" hidden="1" outlineLevel="2">
      <c r="A541" s="450"/>
      <c r="B541" s="490" t="s">
        <v>237</v>
      </c>
      <c r="C541" s="398" t="s">
        <v>607</v>
      </c>
      <c r="D541" s="399" t="s">
        <v>391</v>
      </c>
      <c r="E541" s="490"/>
      <c r="F541" s="385"/>
      <c r="G541" s="385"/>
      <c r="H541" s="385" t="s">
        <v>648</v>
      </c>
      <c r="I541" s="385" t="s">
        <v>474</v>
      </c>
      <c r="J541" s="489" t="s">
        <v>365</v>
      </c>
      <c r="K541" s="412"/>
      <c r="L541" s="412"/>
      <c r="M541" s="490" t="s">
        <v>37</v>
      </c>
      <c r="N541" s="490">
        <v>1</v>
      </c>
    </row>
    <row r="542" spans="1:130" hidden="1" outlineLevel="2">
      <c r="A542" s="438"/>
      <c r="B542" s="490" t="s">
        <v>237</v>
      </c>
      <c r="C542" s="398" t="s">
        <v>607</v>
      </c>
      <c r="D542" s="399" t="s">
        <v>391</v>
      </c>
      <c r="E542" s="490"/>
      <c r="F542" s="385"/>
      <c r="G542" s="385"/>
      <c r="H542" s="385" t="s">
        <v>650</v>
      </c>
      <c r="I542" s="385" t="s">
        <v>649</v>
      </c>
      <c r="J542" s="489" t="s">
        <v>365</v>
      </c>
      <c r="K542" s="412"/>
      <c r="L542" s="412"/>
      <c r="M542" s="490" t="s">
        <v>37</v>
      </c>
      <c r="N542" s="490">
        <v>3</v>
      </c>
    </row>
    <row r="543" spans="1:130" hidden="1" outlineLevel="2">
      <c r="A543" s="438"/>
      <c r="B543" s="490" t="s">
        <v>237</v>
      </c>
      <c r="C543" s="398" t="s">
        <v>607</v>
      </c>
      <c r="D543" s="399" t="s">
        <v>391</v>
      </c>
      <c r="E543" s="490"/>
      <c r="F543" s="385"/>
      <c r="G543" s="385"/>
      <c r="H543" s="385" t="s">
        <v>653</v>
      </c>
      <c r="I543" s="385" t="s">
        <v>583</v>
      </c>
      <c r="J543" s="489" t="s">
        <v>365</v>
      </c>
      <c r="K543" s="412"/>
      <c r="L543" s="412"/>
      <c r="M543" s="490" t="s">
        <v>37</v>
      </c>
      <c r="N543" s="490">
        <v>6</v>
      </c>
    </row>
    <row r="544" spans="1:130" hidden="1" outlineLevel="2">
      <c r="A544" s="438"/>
      <c r="B544" s="490" t="s">
        <v>237</v>
      </c>
      <c r="C544" s="398" t="s">
        <v>607</v>
      </c>
      <c r="D544" s="399" t="s">
        <v>391</v>
      </c>
      <c r="E544" s="490"/>
      <c r="F544" s="385"/>
      <c r="G544" s="385"/>
      <c r="H544" s="385" t="s">
        <v>652</v>
      </c>
      <c r="I544" s="385" t="s">
        <v>651</v>
      </c>
      <c r="J544" s="489" t="s">
        <v>365</v>
      </c>
      <c r="K544" s="412"/>
      <c r="L544" s="412"/>
      <c r="M544" s="490" t="s">
        <v>37</v>
      </c>
      <c r="N544" s="490">
        <v>3</v>
      </c>
    </row>
    <row r="545" spans="1:130" s="405" customFormat="1" ht="40.5" outlineLevel="1" collapsed="1">
      <c r="A545" s="489" t="s">
        <v>1331</v>
      </c>
      <c r="B545" s="490" t="s">
        <v>237</v>
      </c>
      <c r="C545" s="398" t="s">
        <v>607</v>
      </c>
      <c r="D545" s="399" t="s">
        <v>391</v>
      </c>
      <c r="E545" s="490" t="s">
        <v>670</v>
      </c>
      <c r="F545" s="385" t="s">
        <v>810</v>
      </c>
      <c r="G545" s="385"/>
      <c r="H545" s="401" t="s">
        <v>675</v>
      </c>
      <c r="I545" s="385" t="str">
        <f>CONCATENATE(I546," ","(",H546,")","-",N546," ",M546)</f>
        <v>Ремонт разъединителей 110 кВ  (ШР 110 1Т, ЛР 110 С-36, ЛР 110 С-37)-3 шт.</v>
      </c>
      <c r="J545" s="385" t="s">
        <v>365</v>
      </c>
      <c r="K545" s="450">
        <v>44409</v>
      </c>
      <c r="L545" s="450">
        <v>44439</v>
      </c>
      <c r="M545" s="490"/>
      <c r="N545" s="490"/>
      <c r="O545" s="493"/>
      <c r="P545" s="493"/>
      <c r="Q545" s="493"/>
      <c r="R545" s="493"/>
      <c r="S545" s="493"/>
      <c r="T545" s="493"/>
      <c r="U545" s="493"/>
      <c r="V545" s="493"/>
      <c r="W545" s="493"/>
      <c r="X545" s="493"/>
      <c r="Y545" s="493"/>
      <c r="Z545" s="493"/>
      <c r="AA545" s="493"/>
      <c r="AB545" s="493"/>
      <c r="AC545" s="493"/>
      <c r="AD545" s="493"/>
      <c r="AE545" s="493"/>
      <c r="AF545" s="493"/>
      <c r="AG545" s="493"/>
      <c r="AH545" s="493"/>
      <c r="AI545" s="493"/>
      <c r="AJ545" s="493"/>
      <c r="AK545" s="493"/>
      <c r="AL545" s="493"/>
      <c r="AM545" s="493"/>
      <c r="AN545" s="493"/>
      <c r="AO545" s="493"/>
      <c r="AP545" s="493"/>
      <c r="AQ545" s="493"/>
      <c r="AR545" s="493"/>
      <c r="AS545" s="493"/>
      <c r="AT545" s="493"/>
      <c r="AU545" s="493"/>
      <c r="AV545" s="493"/>
      <c r="AW545" s="493"/>
      <c r="AX545" s="493"/>
      <c r="AY545" s="493"/>
      <c r="AZ545" s="493"/>
      <c r="BA545" s="493"/>
      <c r="BB545" s="493"/>
      <c r="BC545" s="493"/>
      <c r="BD545" s="493"/>
      <c r="BE545" s="493"/>
      <c r="BF545" s="493"/>
      <c r="BG545" s="493"/>
      <c r="BH545" s="493"/>
      <c r="BI545" s="493"/>
      <c r="BJ545" s="493"/>
      <c r="BK545" s="493"/>
      <c r="BL545" s="493"/>
      <c r="BM545" s="493"/>
      <c r="BN545" s="493"/>
      <c r="BO545" s="493"/>
      <c r="BP545" s="493"/>
      <c r="BQ545" s="493"/>
      <c r="BR545" s="493"/>
      <c r="BS545" s="493"/>
      <c r="BT545" s="493"/>
      <c r="BU545" s="493"/>
      <c r="BV545" s="493"/>
      <c r="BW545" s="493"/>
      <c r="BX545" s="493"/>
      <c r="BY545" s="493"/>
      <c r="BZ545" s="493"/>
      <c r="CA545" s="493"/>
      <c r="CB545" s="493"/>
      <c r="CC545" s="493"/>
      <c r="CD545" s="493"/>
      <c r="CE545" s="493"/>
      <c r="CF545" s="493"/>
      <c r="CG545" s="493"/>
      <c r="CH545" s="493"/>
      <c r="CI545" s="493"/>
      <c r="CJ545" s="493"/>
      <c r="CK545" s="493"/>
      <c r="CL545" s="493"/>
      <c r="CM545" s="493"/>
      <c r="CN545" s="493"/>
      <c r="CO545" s="493"/>
      <c r="CP545" s="493"/>
      <c r="CQ545" s="493"/>
      <c r="CR545" s="493"/>
      <c r="CS545" s="493"/>
      <c r="CT545" s="493"/>
      <c r="CU545" s="493"/>
      <c r="CV545" s="493"/>
      <c r="CW545" s="493"/>
      <c r="CX545" s="493"/>
      <c r="CY545" s="493"/>
      <c r="CZ545" s="493"/>
      <c r="DA545" s="493"/>
      <c r="DB545" s="493"/>
      <c r="DC545" s="493"/>
      <c r="DD545" s="493"/>
      <c r="DE545" s="493"/>
      <c r="DF545" s="493"/>
      <c r="DG545" s="493"/>
      <c r="DH545" s="493"/>
      <c r="DI545" s="493"/>
      <c r="DJ545" s="493"/>
      <c r="DK545" s="493"/>
      <c r="DL545" s="493"/>
      <c r="DM545" s="493"/>
      <c r="DN545" s="493"/>
      <c r="DO545" s="493"/>
      <c r="DP545" s="493"/>
      <c r="DQ545" s="493"/>
      <c r="DR545" s="493"/>
      <c r="DS545" s="493"/>
      <c r="DT545" s="493"/>
      <c r="DU545" s="493"/>
      <c r="DV545" s="493"/>
      <c r="DW545" s="493"/>
      <c r="DX545" s="493"/>
      <c r="DY545" s="493"/>
      <c r="DZ545" s="493"/>
    </row>
    <row r="546" spans="1:130" hidden="1" outlineLevel="2">
      <c r="A546" s="438"/>
      <c r="B546" s="490" t="s">
        <v>237</v>
      </c>
      <c r="C546" s="398" t="s">
        <v>607</v>
      </c>
      <c r="D546" s="399" t="s">
        <v>391</v>
      </c>
      <c r="E546" s="490"/>
      <c r="F546" s="396"/>
      <c r="G546" s="385"/>
      <c r="H546" s="385" t="s">
        <v>676</v>
      </c>
      <c r="I546" s="385" t="s">
        <v>199</v>
      </c>
      <c r="J546" s="489" t="s">
        <v>365</v>
      </c>
      <c r="K546" s="412"/>
      <c r="L546" s="412"/>
      <c r="M546" s="490" t="s">
        <v>37</v>
      </c>
      <c r="N546" s="490">
        <v>3</v>
      </c>
    </row>
    <row r="547" spans="1:130" s="405" customFormat="1" ht="40.5" outlineLevel="1" collapsed="1">
      <c r="A547" s="489" t="s">
        <v>1332</v>
      </c>
      <c r="B547" s="490" t="s">
        <v>237</v>
      </c>
      <c r="C547" s="398" t="s">
        <v>607</v>
      </c>
      <c r="D547" s="399" t="s">
        <v>391</v>
      </c>
      <c r="E547" s="490" t="s">
        <v>678</v>
      </c>
      <c r="F547" s="385" t="s">
        <v>1211</v>
      </c>
      <c r="G547" s="385" t="s">
        <v>1214</v>
      </c>
      <c r="H547" s="401" t="s">
        <v>677</v>
      </c>
      <c r="I547" s="385" t="str">
        <f>CONCATENATE(I548," ","(",H548,")","-",N548," ",M548)</f>
        <v>Замена опорно-стержневых изоляторов разъединителей 110 кВ (ЗОН 110 1Т, ЗОН 110 2Т)-2 шт.</v>
      </c>
      <c r="J547" s="489" t="s">
        <v>365</v>
      </c>
      <c r="K547" s="450">
        <v>44378</v>
      </c>
      <c r="L547" s="450">
        <v>44408</v>
      </c>
      <c r="M547" s="490"/>
      <c r="N547" s="490"/>
      <c r="O547" s="493"/>
      <c r="P547" s="493"/>
      <c r="Q547" s="493"/>
      <c r="R547" s="493"/>
      <c r="S547" s="493"/>
      <c r="T547" s="493"/>
      <c r="U547" s="493"/>
      <c r="V547" s="493"/>
      <c r="W547" s="493"/>
      <c r="X547" s="493"/>
      <c r="Y547" s="493"/>
      <c r="Z547" s="493"/>
      <c r="AA547" s="493"/>
      <c r="AB547" s="493"/>
      <c r="AC547" s="493"/>
      <c r="AD547" s="493"/>
      <c r="AE547" s="493"/>
      <c r="AF547" s="493"/>
      <c r="AG547" s="493"/>
      <c r="AH547" s="493"/>
      <c r="AI547" s="493"/>
      <c r="AJ547" s="493"/>
      <c r="AK547" s="493"/>
      <c r="AL547" s="493"/>
      <c r="AM547" s="493"/>
      <c r="AN547" s="493"/>
      <c r="AO547" s="493"/>
      <c r="AP547" s="493"/>
      <c r="AQ547" s="493"/>
      <c r="AR547" s="493"/>
      <c r="AS547" s="493"/>
      <c r="AT547" s="493"/>
      <c r="AU547" s="493"/>
      <c r="AV547" s="493"/>
      <c r="AW547" s="493"/>
      <c r="AX547" s="493"/>
      <c r="AY547" s="493"/>
      <c r="AZ547" s="493"/>
      <c r="BA547" s="493"/>
      <c r="BB547" s="493"/>
      <c r="BC547" s="493"/>
      <c r="BD547" s="493"/>
      <c r="BE547" s="493"/>
      <c r="BF547" s="493"/>
      <c r="BG547" s="493"/>
      <c r="BH547" s="493"/>
      <c r="BI547" s="493"/>
      <c r="BJ547" s="493"/>
      <c r="BK547" s="493"/>
      <c r="BL547" s="493"/>
      <c r="BM547" s="493"/>
      <c r="BN547" s="493"/>
      <c r="BO547" s="493"/>
      <c r="BP547" s="493"/>
      <c r="BQ547" s="493"/>
      <c r="BR547" s="493"/>
      <c r="BS547" s="493"/>
      <c r="BT547" s="493"/>
      <c r="BU547" s="493"/>
      <c r="BV547" s="493"/>
      <c r="BW547" s="493"/>
      <c r="BX547" s="493"/>
      <c r="BY547" s="493"/>
      <c r="BZ547" s="493"/>
      <c r="CA547" s="493"/>
      <c r="CB547" s="493"/>
      <c r="CC547" s="493"/>
      <c r="CD547" s="493"/>
      <c r="CE547" s="493"/>
      <c r="CF547" s="493"/>
      <c r="CG547" s="493"/>
      <c r="CH547" s="493"/>
      <c r="CI547" s="493"/>
      <c r="CJ547" s="493"/>
      <c r="CK547" s="493"/>
      <c r="CL547" s="493"/>
      <c r="CM547" s="493"/>
      <c r="CN547" s="493"/>
      <c r="CO547" s="493"/>
      <c r="CP547" s="493"/>
      <c r="CQ547" s="493"/>
      <c r="CR547" s="493"/>
      <c r="CS547" s="493"/>
      <c r="CT547" s="493"/>
      <c r="CU547" s="493"/>
      <c r="CV547" s="493"/>
      <c r="CW547" s="493"/>
      <c r="CX547" s="493"/>
      <c r="CY547" s="493"/>
      <c r="CZ547" s="493"/>
      <c r="DA547" s="493"/>
      <c r="DB547" s="493"/>
      <c r="DC547" s="493"/>
      <c r="DD547" s="493"/>
      <c r="DE547" s="493"/>
      <c r="DF547" s="493"/>
      <c r="DG547" s="493"/>
      <c r="DH547" s="493"/>
      <c r="DI547" s="493"/>
      <c r="DJ547" s="493"/>
      <c r="DK547" s="493"/>
      <c r="DL547" s="493"/>
      <c r="DM547" s="493"/>
      <c r="DN547" s="493"/>
      <c r="DO547" s="493"/>
      <c r="DP547" s="493"/>
      <c r="DQ547" s="493"/>
      <c r="DR547" s="493"/>
      <c r="DS547" s="493"/>
      <c r="DT547" s="493"/>
      <c r="DU547" s="493"/>
      <c r="DV547" s="493"/>
      <c r="DW547" s="493"/>
      <c r="DX547" s="493"/>
      <c r="DY547" s="493"/>
      <c r="DZ547" s="493"/>
    </row>
    <row r="548" spans="1:130" ht="40.5" hidden="1" outlineLevel="2">
      <c r="A548" s="438"/>
      <c r="B548" s="490" t="s">
        <v>237</v>
      </c>
      <c r="C548" s="398" t="s">
        <v>607</v>
      </c>
      <c r="D548" s="399" t="s">
        <v>391</v>
      </c>
      <c r="E548" s="490"/>
      <c r="F548" s="385"/>
      <c r="G548" s="385"/>
      <c r="H548" s="385" t="s">
        <v>1569</v>
      </c>
      <c r="I548" s="385" t="s">
        <v>119</v>
      </c>
      <c r="J548" s="489" t="s">
        <v>365</v>
      </c>
      <c r="K548" s="412"/>
      <c r="L548" s="412"/>
      <c r="M548" s="490" t="s">
        <v>37</v>
      </c>
      <c r="N548" s="490">
        <v>2</v>
      </c>
    </row>
    <row r="549" spans="1:130" s="405" customFormat="1" ht="101.25" outlineLevel="1" collapsed="1">
      <c r="A549" s="489" t="s">
        <v>1333</v>
      </c>
      <c r="B549" s="490" t="s">
        <v>237</v>
      </c>
      <c r="C549" s="398" t="s">
        <v>607</v>
      </c>
      <c r="D549" s="399" t="s">
        <v>391</v>
      </c>
      <c r="E549" s="490" t="s">
        <v>1591</v>
      </c>
      <c r="F549" s="385" t="s">
        <v>1592</v>
      </c>
      <c r="G549" s="385"/>
      <c r="H549" s="401" t="s">
        <v>635</v>
      </c>
      <c r="I549" s="385" t="str">
        <f>CONCATENATE(I550," ","(",H550,")","-",N550," ",M550)</f>
        <v>Замена выключателей 6-10 кВ (В 10 яч.№13 2Т)-1 шт.</v>
      </c>
      <c r="J549" s="489" t="s">
        <v>365</v>
      </c>
      <c r="K549" s="450">
        <v>44470</v>
      </c>
      <c r="L549" s="450">
        <v>44500</v>
      </c>
      <c r="M549" s="490"/>
      <c r="N549" s="490"/>
      <c r="O549" s="493"/>
      <c r="P549" s="493"/>
      <c r="Q549" s="493"/>
      <c r="R549" s="493"/>
      <c r="S549" s="493"/>
      <c r="T549" s="493"/>
      <c r="U549" s="493"/>
      <c r="V549" s="493"/>
      <c r="W549" s="493"/>
      <c r="X549" s="493"/>
      <c r="Y549" s="493"/>
      <c r="Z549" s="493"/>
      <c r="AA549" s="493"/>
      <c r="AB549" s="493"/>
      <c r="AC549" s="493"/>
      <c r="AD549" s="493"/>
      <c r="AE549" s="493"/>
      <c r="AF549" s="493"/>
      <c r="AG549" s="493"/>
      <c r="AH549" s="493"/>
      <c r="AI549" s="493"/>
      <c r="AJ549" s="493"/>
      <c r="AK549" s="493"/>
      <c r="AL549" s="493"/>
      <c r="AM549" s="493"/>
      <c r="AN549" s="493"/>
      <c r="AO549" s="493"/>
      <c r="AP549" s="493"/>
      <c r="AQ549" s="493"/>
      <c r="AR549" s="493"/>
      <c r="AS549" s="493"/>
      <c r="AT549" s="493"/>
      <c r="AU549" s="493"/>
      <c r="AV549" s="493"/>
      <c r="AW549" s="493"/>
      <c r="AX549" s="493"/>
      <c r="AY549" s="493"/>
      <c r="AZ549" s="493"/>
      <c r="BA549" s="493"/>
      <c r="BB549" s="493"/>
      <c r="BC549" s="493"/>
      <c r="BD549" s="493"/>
      <c r="BE549" s="493"/>
      <c r="BF549" s="493"/>
      <c r="BG549" s="493"/>
      <c r="BH549" s="493"/>
      <c r="BI549" s="493"/>
      <c r="BJ549" s="493"/>
      <c r="BK549" s="493"/>
      <c r="BL549" s="493"/>
      <c r="BM549" s="493"/>
      <c r="BN549" s="493"/>
      <c r="BO549" s="493"/>
      <c r="BP549" s="493"/>
      <c r="BQ549" s="493"/>
      <c r="BR549" s="493"/>
      <c r="BS549" s="493"/>
      <c r="BT549" s="493"/>
      <c r="BU549" s="493"/>
      <c r="BV549" s="493"/>
      <c r="BW549" s="493"/>
      <c r="BX549" s="493"/>
      <c r="BY549" s="493"/>
      <c r="BZ549" s="493"/>
      <c r="CA549" s="493"/>
      <c r="CB549" s="493"/>
      <c r="CC549" s="493"/>
      <c r="CD549" s="493"/>
      <c r="CE549" s="493"/>
      <c r="CF549" s="493"/>
      <c r="CG549" s="493"/>
      <c r="CH549" s="493"/>
      <c r="CI549" s="493"/>
      <c r="CJ549" s="493"/>
      <c r="CK549" s="493"/>
      <c r="CL549" s="493"/>
      <c r="CM549" s="493"/>
      <c r="CN549" s="493"/>
      <c r="CO549" s="493"/>
      <c r="CP549" s="493"/>
      <c r="CQ549" s="493"/>
      <c r="CR549" s="493"/>
      <c r="CS549" s="493"/>
      <c r="CT549" s="493"/>
      <c r="CU549" s="493"/>
      <c r="CV549" s="493"/>
      <c r="CW549" s="493"/>
      <c r="CX549" s="493"/>
      <c r="CY549" s="493"/>
      <c r="CZ549" s="493"/>
      <c r="DA549" s="493"/>
      <c r="DB549" s="493"/>
      <c r="DC549" s="493"/>
      <c r="DD549" s="493"/>
      <c r="DE549" s="493"/>
      <c r="DF549" s="493"/>
      <c r="DG549" s="493"/>
      <c r="DH549" s="493"/>
      <c r="DI549" s="493"/>
      <c r="DJ549" s="493"/>
      <c r="DK549" s="493"/>
      <c r="DL549" s="493"/>
      <c r="DM549" s="493"/>
      <c r="DN549" s="493"/>
      <c r="DO549" s="493"/>
      <c r="DP549" s="493"/>
      <c r="DQ549" s="493"/>
      <c r="DR549" s="493"/>
      <c r="DS549" s="493"/>
      <c r="DT549" s="493"/>
      <c r="DU549" s="493"/>
      <c r="DV549" s="493"/>
      <c r="DW549" s="493"/>
      <c r="DX549" s="493"/>
      <c r="DY549" s="493"/>
      <c r="DZ549" s="493"/>
    </row>
    <row r="550" spans="1:130" hidden="1" outlineLevel="2">
      <c r="A550" s="438"/>
      <c r="B550" s="490" t="s">
        <v>237</v>
      </c>
      <c r="C550" s="398" t="s">
        <v>607</v>
      </c>
      <c r="D550" s="399" t="s">
        <v>391</v>
      </c>
      <c r="E550" s="490"/>
      <c r="F550" s="385"/>
      <c r="G550" s="385"/>
      <c r="H550" s="385" t="s">
        <v>1827</v>
      </c>
      <c r="I550" s="385" t="s">
        <v>196</v>
      </c>
      <c r="J550" s="489" t="s">
        <v>365</v>
      </c>
      <c r="K550" s="412"/>
      <c r="L550" s="412"/>
      <c r="M550" s="490" t="s">
        <v>37</v>
      </c>
      <c r="N550" s="490">
        <v>1</v>
      </c>
    </row>
    <row r="551" spans="1:130" s="405" customFormat="1" ht="129.75" customHeight="1" outlineLevel="1" collapsed="1">
      <c r="A551" s="489" t="s">
        <v>1334</v>
      </c>
      <c r="B551" s="490" t="s">
        <v>237</v>
      </c>
      <c r="C551" s="398" t="s">
        <v>578</v>
      </c>
      <c r="D551" s="399" t="s">
        <v>391</v>
      </c>
      <c r="E551" s="490" t="s">
        <v>587</v>
      </c>
      <c r="F551" s="385" t="s">
        <v>3368</v>
      </c>
      <c r="G551" s="385"/>
      <c r="H551" s="401" t="s">
        <v>588</v>
      </c>
      <c r="I551" s="385" t="str">
        <f>CONCATENATE(I552," ","(",H552,")","-",N552," ",M552," ",I553,"  ","(",H553,")","-",N553," ",M553)</f>
        <v>Замена ОПН, разрядников 35 кВ (РВС 35 1с, РВС 35 2с)-6 шт. Замена трансформаторов тока 6-10 кВ  (Яч. 12 А, С )-2 шт.</v>
      </c>
      <c r="J551" s="385" t="s">
        <v>365</v>
      </c>
      <c r="K551" s="450">
        <v>44348</v>
      </c>
      <c r="L551" s="450">
        <v>44439</v>
      </c>
      <c r="M551" s="490"/>
      <c r="N551" s="490"/>
      <c r="O551" s="493"/>
      <c r="P551" s="493"/>
      <c r="Q551" s="493"/>
      <c r="R551" s="493"/>
      <c r="S551" s="493"/>
      <c r="T551" s="493"/>
      <c r="U551" s="493"/>
      <c r="V551" s="493"/>
      <c r="W551" s="493"/>
      <c r="X551" s="493"/>
      <c r="Y551" s="493"/>
      <c r="Z551" s="493"/>
      <c r="AA551" s="493"/>
      <c r="AB551" s="493"/>
      <c r="AC551" s="493"/>
      <c r="AD551" s="493"/>
      <c r="AE551" s="493"/>
      <c r="AF551" s="493"/>
      <c r="AG551" s="493"/>
      <c r="AH551" s="493"/>
      <c r="AI551" s="493"/>
      <c r="AJ551" s="493"/>
      <c r="AK551" s="493"/>
      <c r="AL551" s="493"/>
      <c r="AM551" s="493"/>
      <c r="AN551" s="493"/>
      <c r="AO551" s="493"/>
      <c r="AP551" s="493"/>
      <c r="AQ551" s="493"/>
      <c r="AR551" s="493"/>
      <c r="AS551" s="493"/>
      <c r="AT551" s="493"/>
      <c r="AU551" s="493"/>
      <c r="AV551" s="493"/>
      <c r="AW551" s="493"/>
      <c r="AX551" s="493"/>
      <c r="AY551" s="493"/>
      <c r="AZ551" s="493"/>
      <c r="BA551" s="493"/>
      <c r="BB551" s="493"/>
      <c r="BC551" s="493"/>
      <c r="BD551" s="493"/>
      <c r="BE551" s="493"/>
      <c r="BF551" s="493"/>
      <c r="BG551" s="493"/>
      <c r="BH551" s="493"/>
      <c r="BI551" s="493"/>
      <c r="BJ551" s="493"/>
      <c r="BK551" s="493"/>
      <c r="BL551" s="493"/>
      <c r="BM551" s="493"/>
      <c r="BN551" s="493"/>
      <c r="BO551" s="493"/>
      <c r="BP551" s="493"/>
      <c r="BQ551" s="493"/>
      <c r="BR551" s="493"/>
      <c r="BS551" s="493"/>
      <c r="BT551" s="493"/>
      <c r="BU551" s="493"/>
      <c r="BV551" s="493"/>
      <c r="BW551" s="493"/>
      <c r="BX551" s="493"/>
      <c r="BY551" s="493"/>
      <c r="BZ551" s="493"/>
      <c r="CA551" s="493"/>
      <c r="CB551" s="493"/>
      <c r="CC551" s="493"/>
      <c r="CD551" s="493"/>
      <c r="CE551" s="493"/>
      <c r="CF551" s="493"/>
      <c r="CG551" s="493"/>
      <c r="CH551" s="493"/>
      <c r="CI551" s="493"/>
      <c r="CJ551" s="493"/>
      <c r="CK551" s="493"/>
      <c r="CL551" s="493"/>
      <c r="CM551" s="493"/>
      <c r="CN551" s="493"/>
      <c r="CO551" s="493"/>
      <c r="CP551" s="493"/>
      <c r="CQ551" s="493"/>
      <c r="CR551" s="493"/>
      <c r="CS551" s="493"/>
      <c r="CT551" s="493"/>
      <c r="CU551" s="493"/>
      <c r="CV551" s="493"/>
      <c r="CW551" s="493"/>
      <c r="CX551" s="493"/>
      <c r="CY551" s="493"/>
      <c r="CZ551" s="493"/>
      <c r="DA551" s="493"/>
      <c r="DB551" s="493"/>
      <c r="DC551" s="493"/>
      <c r="DD551" s="493"/>
      <c r="DE551" s="493"/>
      <c r="DF551" s="493"/>
      <c r="DG551" s="493"/>
      <c r="DH551" s="493"/>
      <c r="DI551" s="493"/>
      <c r="DJ551" s="493"/>
      <c r="DK551" s="493"/>
      <c r="DL551" s="493"/>
      <c r="DM551" s="493"/>
      <c r="DN551" s="493"/>
      <c r="DO551" s="493"/>
      <c r="DP551" s="493"/>
      <c r="DQ551" s="493"/>
      <c r="DR551" s="493"/>
      <c r="DS551" s="493"/>
      <c r="DT551" s="493"/>
      <c r="DU551" s="493"/>
      <c r="DV551" s="493"/>
      <c r="DW551" s="493"/>
      <c r="DX551" s="493"/>
      <c r="DY551" s="493"/>
      <c r="DZ551" s="493"/>
    </row>
    <row r="552" spans="1:130" hidden="1" outlineLevel="2">
      <c r="A552" s="438"/>
      <c r="B552" s="490" t="s">
        <v>237</v>
      </c>
      <c r="C552" s="398" t="s">
        <v>578</v>
      </c>
      <c r="D552" s="399" t="s">
        <v>391</v>
      </c>
      <c r="E552" s="490"/>
      <c r="F552" s="396"/>
      <c r="G552" s="385"/>
      <c r="H552" s="385" t="s">
        <v>589</v>
      </c>
      <c r="I552" s="385" t="s">
        <v>231</v>
      </c>
      <c r="J552" s="489" t="s">
        <v>365</v>
      </c>
      <c r="K552" s="450">
        <v>44348</v>
      </c>
      <c r="L552" s="450">
        <v>44377</v>
      </c>
      <c r="M552" s="490" t="s">
        <v>37</v>
      </c>
      <c r="N552" s="490">
        <v>6</v>
      </c>
    </row>
    <row r="553" spans="1:130" ht="81" hidden="1" outlineLevel="2">
      <c r="A553" s="438"/>
      <c r="B553" s="490" t="s">
        <v>245</v>
      </c>
      <c r="C553" s="398" t="s">
        <v>578</v>
      </c>
      <c r="D553" s="399" t="s">
        <v>391</v>
      </c>
      <c r="E553" s="490"/>
      <c r="F553" s="385" t="s">
        <v>1470</v>
      </c>
      <c r="G553" s="385"/>
      <c r="H553" s="401" t="s">
        <v>1711</v>
      </c>
      <c r="I553" s="385" t="s">
        <v>967</v>
      </c>
      <c r="J553" s="489" t="s">
        <v>365</v>
      </c>
      <c r="K553" s="450">
        <v>44348</v>
      </c>
      <c r="L553" s="450">
        <v>44439</v>
      </c>
      <c r="M553" s="490" t="s">
        <v>37</v>
      </c>
      <c r="N553" s="490">
        <v>2</v>
      </c>
    </row>
    <row r="554" spans="1:130" s="405" customFormat="1" ht="40.5" outlineLevel="1" collapsed="1">
      <c r="A554" s="489" t="s">
        <v>1335</v>
      </c>
      <c r="B554" s="490" t="s">
        <v>237</v>
      </c>
      <c r="C554" s="398" t="s">
        <v>698</v>
      </c>
      <c r="D554" s="399" t="s">
        <v>391</v>
      </c>
      <c r="E554" s="490" t="s">
        <v>706</v>
      </c>
      <c r="F554" s="385" t="s">
        <v>810</v>
      </c>
      <c r="G554" s="385"/>
      <c r="H554" s="401" t="s">
        <v>707</v>
      </c>
      <c r="I554" s="385" t="str">
        <f>CONCATENATE(I555," ","(",H555,")","-",N555," ",M555," ",I556,"  ","(",H556,")","-",N556," ",M556)</f>
        <v>Ремонт выключателей 110 кВ (В 110  ПримГРЭС-Бикин)-1 шт. Замена вводов 110 кВ  ()-1 шт.</v>
      </c>
      <c r="J554" s="385" t="s">
        <v>365</v>
      </c>
      <c r="K554" s="450">
        <v>44378</v>
      </c>
      <c r="L554" s="450">
        <v>44408</v>
      </c>
      <c r="M554" s="490"/>
      <c r="N554" s="490"/>
      <c r="O554" s="493"/>
      <c r="P554" s="493"/>
      <c r="Q554" s="493"/>
      <c r="R554" s="493"/>
      <c r="S554" s="493"/>
      <c r="T554" s="493"/>
      <c r="U554" s="493"/>
      <c r="V554" s="493"/>
      <c r="W554" s="493"/>
      <c r="X554" s="493"/>
      <c r="Y554" s="493"/>
      <c r="Z554" s="493"/>
      <c r="AA554" s="493"/>
      <c r="AB554" s="493"/>
      <c r="AC554" s="493"/>
      <c r="AD554" s="493"/>
      <c r="AE554" s="493"/>
      <c r="AF554" s="493"/>
      <c r="AG554" s="493"/>
      <c r="AH554" s="493"/>
      <c r="AI554" s="493"/>
      <c r="AJ554" s="493"/>
      <c r="AK554" s="493"/>
      <c r="AL554" s="493"/>
      <c r="AM554" s="493"/>
      <c r="AN554" s="493"/>
      <c r="AO554" s="493"/>
      <c r="AP554" s="493"/>
      <c r="AQ554" s="493"/>
      <c r="AR554" s="493"/>
      <c r="AS554" s="493"/>
      <c r="AT554" s="493"/>
      <c r="AU554" s="493"/>
      <c r="AV554" s="493"/>
      <c r="AW554" s="493"/>
      <c r="AX554" s="493"/>
      <c r="AY554" s="493"/>
      <c r="AZ554" s="493"/>
      <c r="BA554" s="493"/>
      <c r="BB554" s="493"/>
      <c r="BC554" s="493"/>
      <c r="BD554" s="493"/>
      <c r="BE554" s="493"/>
      <c r="BF554" s="493"/>
      <c r="BG554" s="493"/>
      <c r="BH554" s="493"/>
      <c r="BI554" s="493"/>
      <c r="BJ554" s="493"/>
      <c r="BK554" s="493"/>
      <c r="BL554" s="493"/>
      <c r="BM554" s="493"/>
      <c r="BN554" s="493"/>
      <c r="BO554" s="493"/>
      <c r="BP554" s="493"/>
      <c r="BQ554" s="493"/>
      <c r="BR554" s="493"/>
      <c r="BS554" s="493"/>
      <c r="BT554" s="493"/>
      <c r="BU554" s="493"/>
      <c r="BV554" s="493"/>
      <c r="BW554" s="493"/>
      <c r="BX554" s="493"/>
      <c r="BY554" s="493"/>
      <c r="BZ554" s="493"/>
      <c r="CA554" s="493"/>
      <c r="CB554" s="493"/>
      <c r="CC554" s="493"/>
      <c r="CD554" s="493"/>
      <c r="CE554" s="493"/>
      <c r="CF554" s="493"/>
      <c r="CG554" s="493"/>
      <c r="CH554" s="493"/>
      <c r="CI554" s="493"/>
      <c r="CJ554" s="493"/>
      <c r="CK554" s="493"/>
      <c r="CL554" s="493"/>
      <c r="CM554" s="493"/>
      <c r="CN554" s="493"/>
      <c r="CO554" s="493"/>
      <c r="CP554" s="493"/>
      <c r="CQ554" s="493"/>
      <c r="CR554" s="493"/>
      <c r="CS554" s="493"/>
      <c r="CT554" s="493"/>
      <c r="CU554" s="493"/>
      <c r="CV554" s="493"/>
      <c r="CW554" s="493"/>
      <c r="CX554" s="493"/>
      <c r="CY554" s="493"/>
      <c r="CZ554" s="493"/>
      <c r="DA554" s="493"/>
      <c r="DB554" s="493"/>
      <c r="DC554" s="493"/>
      <c r="DD554" s="493"/>
      <c r="DE554" s="493"/>
      <c r="DF554" s="493"/>
      <c r="DG554" s="493"/>
      <c r="DH554" s="493"/>
      <c r="DI554" s="493"/>
      <c r="DJ554" s="493"/>
      <c r="DK554" s="493"/>
      <c r="DL554" s="493"/>
      <c r="DM554" s="493"/>
      <c r="DN554" s="493"/>
      <c r="DO554" s="493"/>
      <c r="DP554" s="493"/>
      <c r="DQ554" s="493"/>
      <c r="DR554" s="493"/>
      <c r="DS554" s="493"/>
      <c r="DT554" s="493"/>
      <c r="DU554" s="493"/>
      <c r="DV554" s="493"/>
      <c r="DW554" s="493"/>
      <c r="DX554" s="493"/>
      <c r="DY554" s="493"/>
      <c r="DZ554" s="493"/>
    </row>
    <row r="555" spans="1:130" hidden="1" outlineLevel="2">
      <c r="A555" s="438"/>
      <c r="B555" s="490" t="s">
        <v>237</v>
      </c>
      <c r="C555" s="398" t="s">
        <v>698</v>
      </c>
      <c r="D555" s="399" t="s">
        <v>391</v>
      </c>
      <c r="E555" s="490"/>
      <c r="F555" s="385"/>
      <c r="G555" s="385"/>
      <c r="H555" s="385" t="s">
        <v>1528</v>
      </c>
      <c r="I555" s="385" t="s">
        <v>186</v>
      </c>
      <c r="J555" s="489" t="s">
        <v>365</v>
      </c>
      <c r="K555" s="412"/>
      <c r="L555" s="412"/>
      <c r="M555" s="490" t="s">
        <v>37</v>
      </c>
      <c r="N555" s="490">
        <v>1</v>
      </c>
    </row>
    <row r="556" spans="1:130" hidden="1" outlineLevel="2">
      <c r="A556" s="438"/>
      <c r="B556" s="490" t="s">
        <v>237</v>
      </c>
      <c r="C556" s="398" t="s">
        <v>698</v>
      </c>
      <c r="D556" s="399" t="s">
        <v>391</v>
      </c>
      <c r="E556" s="490"/>
      <c r="F556" s="385"/>
      <c r="G556" s="385"/>
      <c r="H556" s="385"/>
      <c r="I556" s="385" t="s">
        <v>173</v>
      </c>
      <c r="J556" s="489" t="s">
        <v>365</v>
      </c>
      <c r="K556" s="412"/>
      <c r="L556" s="412"/>
      <c r="M556" s="490" t="s">
        <v>37</v>
      </c>
      <c r="N556" s="490">
        <v>1</v>
      </c>
    </row>
    <row r="557" spans="1:130" s="405" customFormat="1" ht="54" customHeight="1" outlineLevel="1" collapsed="1">
      <c r="A557" s="489" t="s">
        <v>1336</v>
      </c>
      <c r="B557" s="490" t="s">
        <v>237</v>
      </c>
      <c r="C557" s="398" t="s">
        <v>698</v>
      </c>
      <c r="D557" s="399" t="s">
        <v>391</v>
      </c>
      <c r="E557" s="490" t="s">
        <v>1514</v>
      </c>
      <c r="F557" s="385" t="s">
        <v>810</v>
      </c>
      <c r="G557" s="385"/>
      <c r="H557" s="401" t="s">
        <v>708</v>
      </c>
      <c r="I557" s="385" t="str">
        <f>CONCATENATE(I558," ","(",H558,")","-",N558," ",M558)</f>
        <v>Ремонт выключателей 110 кВ (В 110 C-46)-1 шт.</v>
      </c>
      <c r="J557" s="385" t="s">
        <v>365</v>
      </c>
      <c r="K557" s="450">
        <v>44409</v>
      </c>
      <c r="L557" s="450">
        <v>44439</v>
      </c>
      <c r="M557" s="490"/>
      <c r="N557" s="490"/>
      <c r="O557" s="493"/>
      <c r="P557" s="493"/>
      <c r="Q557" s="493"/>
      <c r="R557" s="493"/>
      <c r="S557" s="493"/>
      <c r="T557" s="493"/>
      <c r="U557" s="493"/>
      <c r="V557" s="493"/>
      <c r="W557" s="493"/>
      <c r="X557" s="493"/>
      <c r="Y557" s="493"/>
      <c r="Z557" s="493"/>
      <c r="AA557" s="493"/>
      <c r="AB557" s="493"/>
      <c r="AC557" s="493"/>
      <c r="AD557" s="493"/>
      <c r="AE557" s="493"/>
      <c r="AF557" s="493"/>
      <c r="AG557" s="493"/>
      <c r="AH557" s="493"/>
      <c r="AI557" s="493"/>
      <c r="AJ557" s="493"/>
      <c r="AK557" s="493"/>
      <c r="AL557" s="493"/>
      <c r="AM557" s="493"/>
      <c r="AN557" s="493"/>
      <c r="AO557" s="493"/>
      <c r="AP557" s="493"/>
      <c r="AQ557" s="493"/>
      <c r="AR557" s="493"/>
      <c r="AS557" s="493"/>
      <c r="AT557" s="493"/>
      <c r="AU557" s="493"/>
      <c r="AV557" s="493"/>
      <c r="AW557" s="493"/>
      <c r="AX557" s="493"/>
      <c r="AY557" s="493"/>
      <c r="AZ557" s="493"/>
      <c r="BA557" s="493"/>
      <c r="BB557" s="493"/>
      <c r="BC557" s="493"/>
      <c r="BD557" s="493"/>
      <c r="BE557" s="493"/>
      <c r="BF557" s="493"/>
      <c r="BG557" s="493"/>
      <c r="BH557" s="493"/>
      <c r="BI557" s="493"/>
      <c r="BJ557" s="493"/>
      <c r="BK557" s="493"/>
      <c r="BL557" s="493"/>
      <c r="BM557" s="493"/>
      <c r="BN557" s="493"/>
      <c r="BO557" s="493"/>
      <c r="BP557" s="493"/>
      <c r="BQ557" s="493"/>
      <c r="BR557" s="493"/>
      <c r="BS557" s="493"/>
      <c r="BT557" s="493"/>
      <c r="BU557" s="493"/>
      <c r="BV557" s="493"/>
      <c r="BW557" s="493"/>
      <c r="BX557" s="493"/>
      <c r="BY557" s="493"/>
      <c r="BZ557" s="493"/>
      <c r="CA557" s="493"/>
      <c r="CB557" s="493"/>
      <c r="CC557" s="493"/>
      <c r="CD557" s="493"/>
      <c r="CE557" s="493"/>
      <c r="CF557" s="493"/>
      <c r="CG557" s="493"/>
      <c r="CH557" s="493"/>
      <c r="CI557" s="493"/>
      <c r="CJ557" s="493"/>
      <c r="CK557" s="493"/>
      <c r="CL557" s="493"/>
      <c r="CM557" s="493"/>
      <c r="CN557" s="493"/>
      <c r="CO557" s="493"/>
      <c r="CP557" s="493"/>
      <c r="CQ557" s="493"/>
      <c r="CR557" s="493"/>
      <c r="CS557" s="493"/>
      <c r="CT557" s="493"/>
      <c r="CU557" s="493"/>
      <c r="CV557" s="493"/>
      <c r="CW557" s="493"/>
      <c r="CX557" s="493"/>
      <c r="CY557" s="493"/>
      <c r="CZ557" s="493"/>
      <c r="DA557" s="493"/>
      <c r="DB557" s="493"/>
      <c r="DC557" s="493"/>
      <c r="DD557" s="493"/>
      <c r="DE557" s="493"/>
      <c r="DF557" s="493"/>
      <c r="DG557" s="493"/>
      <c r="DH557" s="493"/>
      <c r="DI557" s="493"/>
      <c r="DJ557" s="493"/>
      <c r="DK557" s="493"/>
      <c r="DL557" s="493"/>
      <c r="DM557" s="493"/>
      <c r="DN557" s="493"/>
      <c r="DO557" s="493"/>
      <c r="DP557" s="493"/>
      <c r="DQ557" s="493"/>
      <c r="DR557" s="493"/>
      <c r="DS557" s="493"/>
      <c r="DT557" s="493"/>
      <c r="DU557" s="493"/>
      <c r="DV557" s="493"/>
      <c r="DW557" s="493"/>
      <c r="DX557" s="493"/>
      <c r="DY557" s="493"/>
      <c r="DZ557" s="493"/>
    </row>
    <row r="558" spans="1:130" hidden="1" outlineLevel="2">
      <c r="A558" s="438"/>
      <c r="B558" s="490" t="s">
        <v>237</v>
      </c>
      <c r="C558" s="398" t="s">
        <v>698</v>
      </c>
      <c r="D558" s="399" t="s">
        <v>391</v>
      </c>
      <c r="E558" s="490"/>
      <c r="F558" s="385"/>
      <c r="G558" s="385"/>
      <c r="H558" s="385" t="s">
        <v>1513</v>
      </c>
      <c r="I558" s="385" t="s">
        <v>186</v>
      </c>
      <c r="J558" s="489" t="s">
        <v>365</v>
      </c>
      <c r="K558" s="412"/>
      <c r="L558" s="412"/>
      <c r="M558" s="490" t="s">
        <v>37</v>
      </c>
      <c r="N558" s="490">
        <v>1</v>
      </c>
    </row>
    <row r="559" spans="1:130" s="405" customFormat="1" ht="42" customHeight="1" outlineLevel="1" collapsed="1">
      <c r="A559" s="489" t="s">
        <v>1337</v>
      </c>
      <c r="B559" s="490" t="s">
        <v>237</v>
      </c>
      <c r="C559" s="398" t="s">
        <v>698</v>
      </c>
      <c r="D559" s="399" t="s">
        <v>391</v>
      </c>
      <c r="E559" s="490" t="s">
        <v>1515</v>
      </c>
      <c r="F559" s="385" t="s">
        <v>810</v>
      </c>
      <c r="G559" s="385"/>
      <c r="H559" s="401" t="s">
        <v>467</v>
      </c>
      <c r="I559" s="385" t="str">
        <f>CONCATENATE(I560," ","(",H560,")","-",N560," ",M560)</f>
        <v>Замена катушки выключателя (МКП-110 CВ-110)-2 шт.</v>
      </c>
      <c r="J559" s="385" t="s">
        <v>365</v>
      </c>
      <c r="K559" s="450">
        <v>44287</v>
      </c>
      <c r="L559" s="450">
        <v>44316</v>
      </c>
      <c r="M559" s="490"/>
      <c r="N559" s="490"/>
      <c r="O559" s="493"/>
      <c r="P559" s="493"/>
      <c r="Q559" s="493"/>
      <c r="R559" s="493"/>
      <c r="S559" s="493"/>
      <c r="T559" s="493"/>
      <c r="U559" s="493"/>
      <c r="V559" s="493"/>
      <c r="W559" s="493"/>
      <c r="X559" s="493"/>
      <c r="Y559" s="493"/>
      <c r="Z559" s="493"/>
      <c r="AA559" s="493"/>
      <c r="AB559" s="493"/>
      <c r="AC559" s="493"/>
      <c r="AD559" s="493"/>
      <c r="AE559" s="493"/>
      <c r="AF559" s="493"/>
      <c r="AG559" s="493"/>
      <c r="AH559" s="493"/>
      <c r="AI559" s="493"/>
      <c r="AJ559" s="493"/>
      <c r="AK559" s="493"/>
      <c r="AL559" s="493"/>
      <c r="AM559" s="493"/>
      <c r="AN559" s="493"/>
      <c r="AO559" s="493"/>
      <c r="AP559" s="493"/>
      <c r="AQ559" s="493"/>
      <c r="AR559" s="493"/>
      <c r="AS559" s="493"/>
      <c r="AT559" s="493"/>
      <c r="AU559" s="493"/>
      <c r="AV559" s="493"/>
      <c r="AW559" s="493"/>
      <c r="AX559" s="493"/>
      <c r="AY559" s="493"/>
      <c r="AZ559" s="493"/>
      <c r="BA559" s="493"/>
      <c r="BB559" s="493"/>
      <c r="BC559" s="493"/>
      <c r="BD559" s="493"/>
      <c r="BE559" s="493"/>
      <c r="BF559" s="493"/>
      <c r="BG559" s="493"/>
      <c r="BH559" s="493"/>
      <c r="BI559" s="493"/>
      <c r="BJ559" s="493"/>
      <c r="BK559" s="493"/>
      <c r="BL559" s="493"/>
      <c r="BM559" s="493"/>
      <c r="BN559" s="493"/>
      <c r="BO559" s="493"/>
      <c r="BP559" s="493"/>
      <c r="BQ559" s="493"/>
      <c r="BR559" s="493"/>
      <c r="BS559" s="493"/>
      <c r="BT559" s="493"/>
      <c r="BU559" s="493"/>
      <c r="BV559" s="493"/>
      <c r="BW559" s="493"/>
      <c r="BX559" s="493"/>
      <c r="BY559" s="493"/>
      <c r="BZ559" s="493"/>
      <c r="CA559" s="493"/>
      <c r="CB559" s="493"/>
      <c r="CC559" s="493"/>
      <c r="CD559" s="493"/>
      <c r="CE559" s="493"/>
      <c r="CF559" s="493"/>
      <c r="CG559" s="493"/>
      <c r="CH559" s="493"/>
      <c r="CI559" s="493"/>
      <c r="CJ559" s="493"/>
      <c r="CK559" s="493"/>
      <c r="CL559" s="493"/>
      <c r="CM559" s="493"/>
      <c r="CN559" s="493"/>
      <c r="CO559" s="493"/>
      <c r="CP559" s="493"/>
      <c r="CQ559" s="493"/>
      <c r="CR559" s="493"/>
      <c r="CS559" s="493"/>
      <c r="CT559" s="493"/>
      <c r="CU559" s="493"/>
      <c r="CV559" s="493"/>
      <c r="CW559" s="493"/>
      <c r="CX559" s="493"/>
      <c r="CY559" s="493"/>
      <c r="CZ559" s="493"/>
      <c r="DA559" s="493"/>
      <c r="DB559" s="493"/>
      <c r="DC559" s="493"/>
      <c r="DD559" s="493"/>
      <c r="DE559" s="493"/>
      <c r="DF559" s="493"/>
      <c r="DG559" s="493"/>
      <c r="DH559" s="493"/>
      <c r="DI559" s="493"/>
      <c r="DJ559" s="493"/>
      <c r="DK559" s="493"/>
      <c r="DL559" s="493"/>
      <c r="DM559" s="493"/>
      <c r="DN559" s="493"/>
      <c r="DO559" s="493"/>
      <c r="DP559" s="493"/>
      <c r="DQ559" s="493"/>
      <c r="DR559" s="493"/>
      <c r="DS559" s="493"/>
      <c r="DT559" s="493"/>
      <c r="DU559" s="493"/>
      <c r="DV559" s="493"/>
      <c r="DW559" s="493"/>
      <c r="DX559" s="493"/>
      <c r="DY559" s="493"/>
      <c r="DZ559" s="493"/>
    </row>
    <row r="560" spans="1:130" hidden="1" outlineLevel="2">
      <c r="A560" s="438"/>
      <c r="B560" s="490" t="s">
        <v>237</v>
      </c>
      <c r="C560" s="398" t="s">
        <v>698</v>
      </c>
      <c r="D560" s="399" t="s">
        <v>391</v>
      </c>
      <c r="E560" s="490"/>
      <c r="F560" s="385"/>
      <c r="G560" s="385"/>
      <c r="H560" s="385" t="s">
        <v>1516</v>
      </c>
      <c r="I560" s="385" t="s">
        <v>709</v>
      </c>
      <c r="J560" s="489" t="s">
        <v>365</v>
      </c>
      <c r="K560" s="412"/>
      <c r="L560" s="412"/>
      <c r="M560" s="490" t="s">
        <v>37</v>
      </c>
      <c r="N560" s="490">
        <v>2</v>
      </c>
    </row>
    <row r="561" spans="1:130" s="405" customFormat="1" ht="45" customHeight="1" outlineLevel="1" collapsed="1">
      <c r="A561" s="489" t="s">
        <v>2615</v>
      </c>
      <c r="B561" s="490" t="s">
        <v>237</v>
      </c>
      <c r="C561" s="398" t="s">
        <v>698</v>
      </c>
      <c r="D561" s="399" t="s">
        <v>391</v>
      </c>
      <c r="E561" s="490" t="s">
        <v>1517</v>
      </c>
      <c r="F561" s="385" t="s">
        <v>810</v>
      </c>
      <c r="G561" s="385"/>
      <c r="H561" s="401" t="s">
        <v>710</v>
      </c>
      <c r="I561" s="385" t="str">
        <f>CONCATENATE(I562," ","(",H562,")","-",N562," ",M562)</f>
        <v>Ремонт выключателей 110 кВ (В 110 2Т)-1 шт.</v>
      </c>
      <c r="J561" s="385" t="s">
        <v>365</v>
      </c>
      <c r="K561" s="450">
        <v>44348</v>
      </c>
      <c r="L561" s="450">
        <v>44377</v>
      </c>
      <c r="M561" s="490"/>
      <c r="N561" s="490"/>
      <c r="O561" s="493"/>
      <c r="P561" s="493"/>
      <c r="Q561" s="493"/>
      <c r="R561" s="493"/>
      <c r="S561" s="493"/>
      <c r="T561" s="493"/>
      <c r="U561" s="493"/>
      <c r="V561" s="493"/>
      <c r="W561" s="493"/>
      <c r="X561" s="493"/>
      <c r="Y561" s="493"/>
      <c r="Z561" s="493"/>
      <c r="AA561" s="493"/>
      <c r="AB561" s="493"/>
      <c r="AC561" s="493"/>
      <c r="AD561" s="493"/>
      <c r="AE561" s="493"/>
      <c r="AF561" s="493"/>
      <c r="AG561" s="493"/>
      <c r="AH561" s="493"/>
      <c r="AI561" s="493"/>
      <c r="AJ561" s="493"/>
      <c r="AK561" s="493"/>
      <c r="AL561" s="493"/>
      <c r="AM561" s="493"/>
      <c r="AN561" s="493"/>
      <c r="AO561" s="493"/>
      <c r="AP561" s="493"/>
      <c r="AQ561" s="493"/>
      <c r="AR561" s="493"/>
      <c r="AS561" s="493"/>
      <c r="AT561" s="493"/>
      <c r="AU561" s="493"/>
      <c r="AV561" s="493"/>
      <c r="AW561" s="493"/>
      <c r="AX561" s="493"/>
      <c r="AY561" s="493"/>
      <c r="AZ561" s="493"/>
      <c r="BA561" s="493"/>
      <c r="BB561" s="493"/>
      <c r="BC561" s="493"/>
      <c r="BD561" s="493"/>
      <c r="BE561" s="493"/>
      <c r="BF561" s="493"/>
      <c r="BG561" s="493"/>
      <c r="BH561" s="493"/>
      <c r="BI561" s="493"/>
      <c r="BJ561" s="493"/>
      <c r="BK561" s="493"/>
      <c r="BL561" s="493"/>
      <c r="BM561" s="493"/>
      <c r="BN561" s="493"/>
      <c r="BO561" s="493"/>
      <c r="BP561" s="493"/>
      <c r="BQ561" s="493"/>
      <c r="BR561" s="493"/>
      <c r="BS561" s="493"/>
      <c r="BT561" s="493"/>
      <c r="BU561" s="493"/>
      <c r="BV561" s="493"/>
      <c r="BW561" s="493"/>
      <c r="BX561" s="493"/>
      <c r="BY561" s="493"/>
      <c r="BZ561" s="493"/>
      <c r="CA561" s="493"/>
      <c r="CB561" s="493"/>
      <c r="CC561" s="493"/>
      <c r="CD561" s="493"/>
      <c r="CE561" s="493"/>
      <c r="CF561" s="493"/>
      <c r="CG561" s="493"/>
      <c r="CH561" s="493"/>
      <c r="CI561" s="493"/>
      <c r="CJ561" s="493"/>
      <c r="CK561" s="493"/>
      <c r="CL561" s="493"/>
      <c r="CM561" s="493"/>
      <c r="CN561" s="493"/>
      <c r="CO561" s="493"/>
      <c r="CP561" s="493"/>
      <c r="CQ561" s="493"/>
      <c r="CR561" s="493"/>
      <c r="CS561" s="493"/>
      <c r="CT561" s="493"/>
      <c r="CU561" s="493"/>
      <c r="CV561" s="493"/>
      <c r="CW561" s="493"/>
      <c r="CX561" s="493"/>
      <c r="CY561" s="493"/>
      <c r="CZ561" s="493"/>
      <c r="DA561" s="493"/>
      <c r="DB561" s="493"/>
      <c r="DC561" s="493"/>
      <c r="DD561" s="493"/>
      <c r="DE561" s="493"/>
      <c r="DF561" s="493"/>
      <c r="DG561" s="493"/>
      <c r="DH561" s="493"/>
      <c r="DI561" s="493"/>
      <c r="DJ561" s="493"/>
      <c r="DK561" s="493"/>
      <c r="DL561" s="493"/>
      <c r="DM561" s="493"/>
      <c r="DN561" s="493"/>
      <c r="DO561" s="493"/>
      <c r="DP561" s="493"/>
      <c r="DQ561" s="493"/>
      <c r="DR561" s="493"/>
      <c r="DS561" s="493"/>
      <c r="DT561" s="493"/>
      <c r="DU561" s="493"/>
      <c r="DV561" s="493"/>
      <c r="DW561" s="493"/>
      <c r="DX561" s="493"/>
      <c r="DY561" s="493"/>
      <c r="DZ561" s="493"/>
    </row>
    <row r="562" spans="1:130" hidden="1" outlineLevel="2">
      <c r="A562" s="438"/>
      <c r="B562" s="490" t="s">
        <v>237</v>
      </c>
      <c r="C562" s="398" t="s">
        <v>698</v>
      </c>
      <c r="D562" s="399" t="s">
        <v>391</v>
      </c>
      <c r="E562" s="490"/>
      <c r="F562" s="385"/>
      <c r="G562" s="385"/>
      <c r="H562" s="385" t="s">
        <v>1518</v>
      </c>
      <c r="I562" s="385" t="s">
        <v>186</v>
      </c>
      <c r="J562" s="489" t="s">
        <v>365</v>
      </c>
      <c r="K562" s="412"/>
      <c r="L562" s="412"/>
      <c r="M562" s="490" t="s">
        <v>37</v>
      </c>
      <c r="N562" s="490">
        <v>1</v>
      </c>
    </row>
    <row r="563" spans="1:130" s="405" customFormat="1" ht="40.5" outlineLevel="1" collapsed="1">
      <c r="A563" s="489" t="s">
        <v>1338</v>
      </c>
      <c r="B563" s="490" t="s">
        <v>237</v>
      </c>
      <c r="C563" s="398" t="s">
        <v>698</v>
      </c>
      <c r="D563" s="399" t="s">
        <v>391</v>
      </c>
      <c r="E563" s="490" t="s">
        <v>763</v>
      </c>
      <c r="F563" s="385" t="s">
        <v>810</v>
      </c>
      <c r="G563" s="385"/>
      <c r="H563" s="401" t="s">
        <v>764</v>
      </c>
      <c r="I563" s="385" t="str">
        <f>CONCATENATE(I564," ","(",H564,")","-",N564," ",M564)</f>
        <v>Ремонт выключателей 35 кВ (В 35 Т-60)-1 шт.</v>
      </c>
      <c r="J563" s="489" t="s">
        <v>365</v>
      </c>
      <c r="K563" s="450">
        <v>44348</v>
      </c>
      <c r="L563" s="450">
        <v>44377</v>
      </c>
      <c r="M563" s="490"/>
      <c r="N563" s="490"/>
      <c r="O563" s="493"/>
      <c r="P563" s="493"/>
      <c r="Q563" s="493"/>
      <c r="R563" s="493"/>
      <c r="S563" s="493"/>
      <c r="T563" s="493"/>
      <c r="U563" s="493"/>
      <c r="V563" s="493"/>
      <c r="W563" s="493"/>
      <c r="X563" s="493"/>
      <c r="Y563" s="493"/>
      <c r="Z563" s="493"/>
      <c r="AA563" s="493"/>
      <c r="AB563" s="493"/>
      <c r="AC563" s="493"/>
      <c r="AD563" s="493"/>
      <c r="AE563" s="493"/>
      <c r="AF563" s="493"/>
      <c r="AG563" s="493"/>
      <c r="AH563" s="493"/>
      <c r="AI563" s="493"/>
      <c r="AJ563" s="493"/>
      <c r="AK563" s="493"/>
      <c r="AL563" s="493"/>
      <c r="AM563" s="493"/>
      <c r="AN563" s="493"/>
      <c r="AO563" s="493"/>
      <c r="AP563" s="493"/>
      <c r="AQ563" s="493"/>
      <c r="AR563" s="493"/>
      <c r="AS563" s="493"/>
      <c r="AT563" s="493"/>
      <c r="AU563" s="493"/>
      <c r="AV563" s="493"/>
      <c r="AW563" s="493"/>
      <c r="AX563" s="493"/>
      <c r="AY563" s="493"/>
      <c r="AZ563" s="493"/>
      <c r="BA563" s="493"/>
      <c r="BB563" s="493"/>
      <c r="BC563" s="493"/>
      <c r="BD563" s="493"/>
      <c r="BE563" s="493"/>
      <c r="BF563" s="493"/>
      <c r="BG563" s="493"/>
      <c r="BH563" s="493"/>
      <c r="BI563" s="493"/>
      <c r="BJ563" s="493"/>
      <c r="BK563" s="493"/>
      <c r="BL563" s="493"/>
      <c r="BM563" s="493"/>
      <c r="BN563" s="493"/>
      <c r="BO563" s="493"/>
      <c r="BP563" s="493"/>
      <c r="BQ563" s="493"/>
      <c r="BR563" s="493"/>
      <c r="BS563" s="493"/>
      <c r="BT563" s="493"/>
      <c r="BU563" s="493"/>
      <c r="BV563" s="493"/>
      <c r="BW563" s="493"/>
      <c r="BX563" s="493"/>
      <c r="BY563" s="493"/>
      <c r="BZ563" s="493"/>
      <c r="CA563" s="493"/>
      <c r="CB563" s="493"/>
      <c r="CC563" s="493"/>
      <c r="CD563" s="493"/>
      <c r="CE563" s="493"/>
      <c r="CF563" s="493"/>
      <c r="CG563" s="493"/>
      <c r="CH563" s="493"/>
      <c r="CI563" s="493"/>
      <c r="CJ563" s="493"/>
      <c r="CK563" s="493"/>
      <c r="CL563" s="493"/>
      <c r="CM563" s="493"/>
      <c r="CN563" s="493"/>
      <c r="CO563" s="493"/>
      <c r="CP563" s="493"/>
      <c r="CQ563" s="493"/>
      <c r="CR563" s="493"/>
      <c r="CS563" s="493"/>
      <c r="CT563" s="493"/>
      <c r="CU563" s="493"/>
      <c r="CV563" s="493"/>
      <c r="CW563" s="493"/>
      <c r="CX563" s="493"/>
      <c r="CY563" s="493"/>
      <c r="CZ563" s="493"/>
      <c r="DA563" s="493"/>
      <c r="DB563" s="493"/>
      <c r="DC563" s="493"/>
      <c r="DD563" s="493"/>
      <c r="DE563" s="493"/>
      <c r="DF563" s="493"/>
      <c r="DG563" s="493"/>
      <c r="DH563" s="493"/>
      <c r="DI563" s="493"/>
      <c r="DJ563" s="493"/>
      <c r="DK563" s="493"/>
      <c r="DL563" s="493"/>
      <c r="DM563" s="493"/>
      <c r="DN563" s="493"/>
      <c r="DO563" s="493"/>
      <c r="DP563" s="493"/>
      <c r="DQ563" s="493"/>
      <c r="DR563" s="493"/>
      <c r="DS563" s="493"/>
      <c r="DT563" s="493"/>
      <c r="DU563" s="493"/>
      <c r="DV563" s="493"/>
      <c r="DW563" s="493"/>
      <c r="DX563" s="493"/>
      <c r="DY563" s="493"/>
      <c r="DZ563" s="493"/>
    </row>
    <row r="564" spans="1:130" hidden="1" outlineLevel="2">
      <c r="A564" s="438"/>
      <c r="B564" s="490" t="s">
        <v>237</v>
      </c>
      <c r="C564" s="398" t="s">
        <v>698</v>
      </c>
      <c r="D564" s="399" t="s">
        <v>391</v>
      </c>
      <c r="E564" s="490"/>
      <c r="F564" s="385"/>
      <c r="G564" s="385"/>
      <c r="H564" s="385" t="s">
        <v>1523</v>
      </c>
      <c r="I564" s="385" t="s">
        <v>189</v>
      </c>
      <c r="J564" s="489" t="s">
        <v>365</v>
      </c>
      <c r="K564" s="412"/>
      <c r="L564" s="412"/>
      <c r="M564" s="490" t="s">
        <v>37</v>
      </c>
      <c r="N564" s="490">
        <v>1</v>
      </c>
    </row>
    <row r="565" spans="1:130" s="405" customFormat="1" ht="40.5" outlineLevel="1" collapsed="1">
      <c r="A565" s="489" t="s">
        <v>1339</v>
      </c>
      <c r="B565" s="490" t="s">
        <v>237</v>
      </c>
      <c r="C565" s="398" t="s">
        <v>698</v>
      </c>
      <c r="D565" s="399" t="s">
        <v>391</v>
      </c>
      <c r="E565" s="490" t="s">
        <v>1524</v>
      </c>
      <c r="F565" s="385" t="s">
        <v>810</v>
      </c>
      <c r="G565" s="385"/>
      <c r="H565" s="401" t="s">
        <v>1765</v>
      </c>
      <c r="I565" s="385" t="str">
        <f>CONCATENATE(I566," ","(",H566,")","-",N566," ",M566," ",I567,"  ","(",H567,")","-",N567," ",M567)</f>
        <v>Ремонт выключателей 35 кВ (В 35 1Т)-1 шт. Замена вводов 35 кВ  (ф «А» в ст. 1Т)-1 шт.</v>
      </c>
      <c r="J565" s="489" t="s">
        <v>365</v>
      </c>
      <c r="K565" s="450">
        <v>44378</v>
      </c>
      <c r="L565" s="450">
        <v>44408</v>
      </c>
      <c r="M565" s="490"/>
      <c r="N565" s="490"/>
      <c r="O565" s="493"/>
      <c r="P565" s="493"/>
      <c r="Q565" s="493"/>
      <c r="R565" s="493"/>
      <c r="S565" s="493"/>
      <c r="T565" s="493"/>
      <c r="U565" s="493"/>
      <c r="V565" s="493"/>
      <c r="W565" s="493"/>
      <c r="X565" s="493"/>
      <c r="Y565" s="493"/>
      <c r="Z565" s="493"/>
      <c r="AA565" s="493"/>
      <c r="AB565" s="493"/>
      <c r="AC565" s="493"/>
      <c r="AD565" s="493"/>
      <c r="AE565" s="493"/>
      <c r="AF565" s="493"/>
      <c r="AG565" s="493"/>
      <c r="AH565" s="493"/>
      <c r="AI565" s="493"/>
      <c r="AJ565" s="493"/>
      <c r="AK565" s="493"/>
      <c r="AL565" s="493"/>
      <c r="AM565" s="493"/>
      <c r="AN565" s="493"/>
      <c r="AO565" s="493"/>
      <c r="AP565" s="493"/>
      <c r="AQ565" s="493"/>
      <c r="AR565" s="493"/>
      <c r="AS565" s="493"/>
      <c r="AT565" s="493"/>
      <c r="AU565" s="493"/>
      <c r="AV565" s="493"/>
      <c r="AW565" s="493"/>
      <c r="AX565" s="493"/>
      <c r="AY565" s="493"/>
      <c r="AZ565" s="493"/>
      <c r="BA565" s="493"/>
      <c r="BB565" s="493"/>
      <c r="BC565" s="493"/>
      <c r="BD565" s="493"/>
      <c r="BE565" s="493"/>
      <c r="BF565" s="493"/>
      <c r="BG565" s="493"/>
      <c r="BH565" s="493"/>
      <c r="BI565" s="493"/>
      <c r="BJ565" s="493"/>
      <c r="BK565" s="493"/>
      <c r="BL565" s="493"/>
      <c r="BM565" s="493"/>
      <c r="BN565" s="493"/>
      <c r="BO565" s="493"/>
      <c r="BP565" s="493"/>
      <c r="BQ565" s="493"/>
      <c r="BR565" s="493"/>
      <c r="BS565" s="493"/>
      <c r="BT565" s="493"/>
      <c r="BU565" s="493"/>
      <c r="BV565" s="493"/>
      <c r="BW565" s="493"/>
      <c r="BX565" s="493"/>
      <c r="BY565" s="493"/>
      <c r="BZ565" s="493"/>
      <c r="CA565" s="493"/>
      <c r="CB565" s="493"/>
      <c r="CC565" s="493"/>
      <c r="CD565" s="493"/>
      <c r="CE565" s="493"/>
      <c r="CF565" s="493"/>
      <c r="CG565" s="493"/>
      <c r="CH565" s="493"/>
      <c r="CI565" s="493"/>
      <c r="CJ565" s="493"/>
      <c r="CK565" s="493"/>
      <c r="CL565" s="493"/>
      <c r="CM565" s="493"/>
      <c r="CN565" s="493"/>
      <c r="CO565" s="493"/>
      <c r="CP565" s="493"/>
      <c r="CQ565" s="493"/>
      <c r="CR565" s="493"/>
      <c r="CS565" s="493"/>
      <c r="CT565" s="493"/>
      <c r="CU565" s="493"/>
      <c r="CV565" s="493"/>
      <c r="CW565" s="493"/>
      <c r="CX565" s="493"/>
      <c r="CY565" s="493"/>
      <c r="CZ565" s="493"/>
      <c r="DA565" s="493"/>
      <c r="DB565" s="493"/>
      <c r="DC565" s="493"/>
      <c r="DD565" s="493"/>
      <c r="DE565" s="493"/>
      <c r="DF565" s="493"/>
      <c r="DG565" s="493"/>
      <c r="DH565" s="493"/>
      <c r="DI565" s="493"/>
      <c r="DJ565" s="493"/>
      <c r="DK565" s="493"/>
      <c r="DL565" s="493"/>
      <c r="DM565" s="493"/>
      <c r="DN565" s="493"/>
      <c r="DO565" s="493"/>
      <c r="DP565" s="493"/>
      <c r="DQ565" s="493"/>
      <c r="DR565" s="493"/>
      <c r="DS565" s="493"/>
      <c r="DT565" s="493"/>
      <c r="DU565" s="493"/>
      <c r="DV565" s="493"/>
      <c r="DW565" s="493"/>
      <c r="DX565" s="493"/>
      <c r="DY565" s="493"/>
      <c r="DZ565" s="493"/>
    </row>
    <row r="566" spans="1:130" hidden="1" outlineLevel="2">
      <c r="A566" s="438"/>
      <c r="B566" s="490" t="s">
        <v>237</v>
      </c>
      <c r="C566" s="398" t="s">
        <v>698</v>
      </c>
      <c r="D566" s="399" t="s">
        <v>391</v>
      </c>
      <c r="E566" s="490"/>
      <c r="F566" s="385"/>
      <c r="G566" s="385"/>
      <c r="H566" s="385" t="s">
        <v>616</v>
      </c>
      <c r="I566" s="385" t="s">
        <v>189</v>
      </c>
      <c r="J566" s="489" t="s">
        <v>365</v>
      </c>
      <c r="K566" s="412"/>
      <c r="L566" s="412"/>
      <c r="M566" s="490" t="s">
        <v>37</v>
      </c>
      <c r="N566" s="490">
        <v>1</v>
      </c>
    </row>
    <row r="567" spans="1:130" hidden="1" outlineLevel="2">
      <c r="A567" s="438"/>
      <c r="B567" s="490" t="s">
        <v>237</v>
      </c>
      <c r="C567" s="398" t="s">
        <v>698</v>
      </c>
      <c r="D567" s="399" t="s">
        <v>391</v>
      </c>
      <c r="E567" s="490"/>
      <c r="F567" s="385"/>
      <c r="G567" s="385"/>
      <c r="H567" s="385" t="s">
        <v>700</v>
      </c>
      <c r="I567" s="385" t="s">
        <v>176</v>
      </c>
      <c r="J567" s="489" t="s">
        <v>365</v>
      </c>
      <c r="K567" s="412"/>
      <c r="L567" s="412"/>
      <c r="M567" s="490" t="s">
        <v>37</v>
      </c>
      <c r="N567" s="490">
        <v>1</v>
      </c>
    </row>
    <row r="568" spans="1:130" s="405" customFormat="1" ht="141.75" outlineLevel="1" collapsed="1">
      <c r="A568" s="489" t="s">
        <v>1340</v>
      </c>
      <c r="B568" s="490" t="s">
        <v>237</v>
      </c>
      <c r="C568" s="398" t="s">
        <v>392</v>
      </c>
      <c r="D568" s="399" t="s">
        <v>391</v>
      </c>
      <c r="E568" s="490" t="s">
        <v>460</v>
      </c>
      <c r="F568" s="385" t="s">
        <v>810</v>
      </c>
      <c r="G568" s="385"/>
      <c r="H568" s="401" t="s">
        <v>459</v>
      </c>
      <c r="I568" s="385" t="str">
        <f>CONCATENATE(I569," ","(",H569,")","-",N569," ",M569," ",I570,"  ","(",H570,")","-",N570," ",M570," ",I572," ","(",H572,")","-",N572," ",M572," ",I573," ","(",H573,")","-",N573," ",M573," ",I571," ","(",H571,")","-",N571," ",M571)</f>
        <v>Ремонт трансформаторов 110 кВ (ТДН-110/10 кВ (10000кВА) 2Т)-1 шт. Ремонт разъединителей 110 кВ   (ТР-110 2Т)-1 шт. Ремонт трансформаторов тока 110 кВ (ТТ-110 ОСВ)-3 шт. Ремонт выключателей 6-10 кВ (В-10 - ячейка № 5, 15, 25)-3 шт. Ремонт ОПН, разрядников 110 кВ (ОПН-110 2с - 3шт, 110 2Т - 3шт, 55 2Т - 1 шт)-7 шт.</v>
      </c>
      <c r="J568" s="489" t="s">
        <v>366</v>
      </c>
      <c r="K568" s="450">
        <v>44317</v>
      </c>
      <c r="L568" s="450">
        <v>44439</v>
      </c>
      <c r="M568" s="490"/>
      <c r="N568" s="490"/>
      <c r="O568" s="493"/>
      <c r="P568" s="493"/>
      <c r="Q568" s="493"/>
      <c r="R568" s="493"/>
      <c r="S568" s="493"/>
      <c r="T568" s="493"/>
      <c r="U568" s="493"/>
      <c r="V568" s="493"/>
      <c r="W568" s="493"/>
      <c r="X568" s="493"/>
      <c r="Y568" s="493"/>
      <c r="Z568" s="493"/>
      <c r="AA568" s="493"/>
      <c r="AB568" s="493"/>
      <c r="AC568" s="493"/>
      <c r="AD568" s="493"/>
      <c r="AE568" s="493"/>
      <c r="AF568" s="493"/>
      <c r="AG568" s="493"/>
      <c r="AH568" s="493"/>
      <c r="AI568" s="493"/>
      <c r="AJ568" s="493"/>
      <c r="AK568" s="493"/>
      <c r="AL568" s="493"/>
      <c r="AM568" s="493"/>
      <c r="AN568" s="493"/>
      <c r="AO568" s="493"/>
      <c r="AP568" s="493"/>
      <c r="AQ568" s="493"/>
      <c r="AR568" s="493"/>
      <c r="AS568" s="493"/>
      <c r="AT568" s="493"/>
      <c r="AU568" s="493"/>
      <c r="AV568" s="493"/>
      <c r="AW568" s="493"/>
      <c r="AX568" s="493"/>
      <c r="AY568" s="493"/>
      <c r="AZ568" s="493"/>
      <c r="BA568" s="493"/>
      <c r="BB568" s="493"/>
      <c r="BC568" s="493"/>
      <c r="BD568" s="493"/>
      <c r="BE568" s="493"/>
      <c r="BF568" s="493"/>
      <c r="BG568" s="493"/>
      <c r="BH568" s="493"/>
      <c r="BI568" s="493"/>
      <c r="BJ568" s="493"/>
      <c r="BK568" s="493"/>
      <c r="BL568" s="493"/>
      <c r="BM568" s="493"/>
      <c r="BN568" s="493"/>
      <c r="BO568" s="493"/>
      <c r="BP568" s="493"/>
      <c r="BQ568" s="493"/>
      <c r="BR568" s="493"/>
      <c r="BS568" s="493"/>
      <c r="BT568" s="493"/>
      <c r="BU568" s="493"/>
      <c r="BV568" s="493"/>
      <c r="BW568" s="493"/>
      <c r="BX568" s="493"/>
      <c r="BY568" s="493"/>
      <c r="BZ568" s="493"/>
      <c r="CA568" s="493"/>
      <c r="CB568" s="493"/>
      <c r="CC568" s="493"/>
      <c r="CD568" s="493"/>
      <c r="CE568" s="493"/>
      <c r="CF568" s="493"/>
      <c r="CG568" s="493"/>
      <c r="CH568" s="493"/>
      <c r="CI568" s="493"/>
      <c r="CJ568" s="493"/>
      <c r="CK568" s="493"/>
      <c r="CL568" s="493"/>
      <c r="CM568" s="493"/>
      <c r="CN568" s="493"/>
      <c r="CO568" s="493"/>
      <c r="CP568" s="493"/>
      <c r="CQ568" s="493"/>
      <c r="CR568" s="493"/>
      <c r="CS568" s="493"/>
      <c r="CT568" s="493"/>
      <c r="CU568" s="493"/>
      <c r="CV568" s="493"/>
      <c r="CW568" s="493"/>
      <c r="CX568" s="493"/>
      <c r="CY568" s="493"/>
      <c r="CZ568" s="493"/>
      <c r="DA568" s="493"/>
      <c r="DB568" s="493"/>
      <c r="DC568" s="493"/>
      <c r="DD568" s="493"/>
      <c r="DE568" s="493"/>
      <c r="DF568" s="493"/>
      <c r="DG568" s="493"/>
      <c r="DH568" s="493"/>
      <c r="DI568" s="493"/>
      <c r="DJ568" s="493"/>
      <c r="DK568" s="493"/>
      <c r="DL568" s="493"/>
      <c r="DM568" s="493"/>
      <c r="DN568" s="493"/>
      <c r="DO568" s="493"/>
      <c r="DP568" s="493"/>
      <c r="DQ568" s="493"/>
      <c r="DR568" s="493"/>
      <c r="DS568" s="493"/>
      <c r="DT568" s="493"/>
      <c r="DU568" s="493"/>
      <c r="DV568" s="493"/>
      <c r="DW568" s="493"/>
      <c r="DX568" s="493"/>
      <c r="DY568" s="493"/>
      <c r="DZ568" s="493"/>
    </row>
    <row r="569" spans="1:130" hidden="1" outlineLevel="2">
      <c r="A569" s="438"/>
      <c r="B569" s="490" t="s">
        <v>237</v>
      </c>
      <c r="C569" s="398" t="s">
        <v>392</v>
      </c>
      <c r="D569" s="399" t="s">
        <v>391</v>
      </c>
      <c r="E569" s="490"/>
      <c r="F569" s="385"/>
      <c r="G569" s="385"/>
      <c r="H569" s="385" t="s">
        <v>1811</v>
      </c>
      <c r="I569" s="385" t="s">
        <v>156</v>
      </c>
      <c r="J569" s="489" t="s">
        <v>366</v>
      </c>
      <c r="K569" s="412"/>
      <c r="L569" s="412"/>
      <c r="M569" s="490" t="s">
        <v>37</v>
      </c>
      <c r="N569" s="490">
        <v>1</v>
      </c>
    </row>
    <row r="570" spans="1:130" hidden="1" outlineLevel="2">
      <c r="A570" s="438"/>
      <c r="B570" s="490" t="s">
        <v>237</v>
      </c>
      <c r="C570" s="398" t="s">
        <v>392</v>
      </c>
      <c r="D570" s="399" t="s">
        <v>391</v>
      </c>
      <c r="E570" s="490"/>
      <c r="F570" s="385"/>
      <c r="G570" s="385"/>
      <c r="H570" s="385" t="s">
        <v>461</v>
      </c>
      <c r="I570" s="385" t="s">
        <v>199</v>
      </c>
      <c r="J570" s="489" t="s">
        <v>366</v>
      </c>
      <c r="K570" s="412"/>
      <c r="L570" s="412"/>
      <c r="M570" s="490" t="s">
        <v>37</v>
      </c>
      <c r="N570" s="490">
        <v>1</v>
      </c>
    </row>
    <row r="571" spans="1:130" ht="40.5" hidden="1" outlineLevel="2">
      <c r="A571" s="438"/>
      <c r="B571" s="490" t="s">
        <v>237</v>
      </c>
      <c r="C571" s="398" t="s">
        <v>408</v>
      </c>
      <c r="D571" s="399" t="s">
        <v>391</v>
      </c>
      <c r="E571" s="490"/>
      <c r="F571" s="385"/>
      <c r="G571" s="385"/>
      <c r="H571" s="385" t="s">
        <v>462</v>
      </c>
      <c r="I571" s="385" t="s">
        <v>463</v>
      </c>
      <c r="J571" s="489" t="s">
        <v>366</v>
      </c>
      <c r="K571" s="412"/>
      <c r="L571" s="412"/>
      <c r="M571" s="490" t="s">
        <v>37</v>
      </c>
      <c r="N571" s="490">
        <v>7</v>
      </c>
    </row>
    <row r="572" spans="1:130" ht="27.75" hidden="1" customHeight="1" outlineLevel="2">
      <c r="A572" s="438"/>
      <c r="B572" s="490" t="s">
        <v>237</v>
      </c>
      <c r="C572" s="398" t="s">
        <v>392</v>
      </c>
      <c r="D572" s="399" t="s">
        <v>391</v>
      </c>
      <c r="E572" s="490"/>
      <c r="F572" s="385"/>
      <c r="G572" s="385"/>
      <c r="H572" s="385" t="s">
        <v>464</v>
      </c>
      <c r="I572" s="385" t="s">
        <v>208</v>
      </c>
      <c r="J572" s="489" t="s">
        <v>366</v>
      </c>
      <c r="K572" s="412"/>
      <c r="L572" s="412"/>
      <c r="M572" s="490" t="s">
        <v>37</v>
      </c>
      <c r="N572" s="490">
        <v>3</v>
      </c>
    </row>
    <row r="573" spans="1:130" hidden="1" outlineLevel="2">
      <c r="A573" s="450"/>
      <c r="B573" s="490" t="s">
        <v>237</v>
      </c>
      <c r="C573" s="398" t="s">
        <v>392</v>
      </c>
      <c r="D573" s="399" t="s">
        <v>391</v>
      </c>
      <c r="E573" s="490"/>
      <c r="F573" s="385"/>
      <c r="G573" s="385"/>
      <c r="H573" s="385" t="s">
        <v>465</v>
      </c>
      <c r="I573" s="385" t="s">
        <v>191</v>
      </c>
      <c r="J573" s="489" t="s">
        <v>366</v>
      </c>
      <c r="K573" s="412"/>
      <c r="L573" s="412"/>
      <c r="M573" s="490" t="s">
        <v>37</v>
      </c>
      <c r="N573" s="490">
        <v>3</v>
      </c>
    </row>
    <row r="574" spans="1:130" s="405" customFormat="1" ht="141.75" outlineLevel="1" collapsed="1">
      <c r="A574" s="489" t="s">
        <v>1341</v>
      </c>
      <c r="B574" s="490" t="s">
        <v>237</v>
      </c>
      <c r="C574" s="398" t="s">
        <v>392</v>
      </c>
      <c r="D574" s="399" t="s">
        <v>391</v>
      </c>
      <c r="E574" s="490" t="s">
        <v>466</v>
      </c>
      <c r="F574" s="385" t="s">
        <v>810</v>
      </c>
      <c r="G574" s="385"/>
      <c r="H574" s="401" t="s">
        <v>467</v>
      </c>
      <c r="I574" s="385" t="str">
        <f>CONCATENATE(I575," ","(",H575,")","-",N575," ",M575," ",I576,"  ","(",H576,")","-",N576," ",M576," ",I579," ","(",H579,")","-",N579," ",M579," ",I580," ","(",H580,")","-",N580," ",M580," ",I577," ","(",H577,")","-",N577," ",M577," ",I578," ","(",H578,")","-",N578," ",M578)</f>
        <v>Ремонт трансформаторов 110 кВ (2Т ТМТГ-110/10 кВ (5600кВА) )-1 шт. Ремонт ОПН, разрядников 35 кВ  (РВС-35+15 2Т )-1 шт. Ремонт отделителя 110 кВ (ОД-110М 2Т)-1 шт. Ремонт короткозамыкателя 110 кВ (КЗ-110 2Т)-1 шт. Ремонт заземлителя 110 кВ (ЗОН-110М 2Т)-1 шт. Ремонт разъединителя 110 кВ ( Р-110 2с )-3 шт.</v>
      </c>
      <c r="J574" s="489" t="s">
        <v>366</v>
      </c>
      <c r="K574" s="450">
        <v>44317</v>
      </c>
      <c r="L574" s="450">
        <v>44439</v>
      </c>
      <c r="M574" s="490"/>
      <c r="N574" s="490"/>
      <c r="O574" s="493"/>
      <c r="P574" s="493"/>
      <c r="Q574" s="493"/>
      <c r="R574" s="493"/>
      <c r="S574" s="493"/>
      <c r="T574" s="493"/>
      <c r="U574" s="493"/>
      <c r="V574" s="493"/>
      <c r="W574" s="493"/>
      <c r="X574" s="493"/>
      <c r="Y574" s="493"/>
      <c r="Z574" s="493"/>
      <c r="AA574" s="493"/>
      <c r="AB574" s="493"/>
      <c r="AC574" s="493"/>
      <c r="AD574" s="493"/>
      <c r="AE574" s="493"/>
      <c r="AF574" s="493"/>
      <c r="AG574" s="493"/>
      <c r="AH574" s="493"/>
      <c r="AI574" s="493"/>
      <c r="AJ574" s="493"/>
      <c r="AK574" s="493"/>
      <c r="AL574" s="493"/>
      <c r="AM574" s="493"/>
      <c r="AN574" s="493"/>
      <c r="AO574" s="493"/>
      <c r="AP574" s="493"/>
      <c r="AQ574" s="493"/>
      <c r="AR574" s="493"/>
      <c r="AS574" s="493"/>
      <c r="AT574" s="493"/>
      <c r="AU574" s="493"/>
      <c r="AV574" s="493"/>
      <c r="AW574" s="493"/>
      <c r="AX574" s="493"/>
      <c r="AY574" s="493"/>
      <c r="AZ574" s="493"/>
      <c r="BA574" s="493"/>
      <c r="BB574" s="493"/>
      <c r="BC574" s="493"/>
      <c r="BD574" s="493"/>
      <c r="BE574" s="493"/>
      <c r="BF574" s="493"/>
      <c r="BG574" s="493"/>
      <c r="BH574" s="493"/>
      <c r="BI574" s="493"/>
      <c r="BJ574" s="493"/>
      <c r="BK574" s="493"/>
      <c r="BL574" s="493"/>
      <c r="BM574" s="493"/>
      <c r="BN574" s="493"/>
      <c r="BO574" s="493"/>
      <c r="BP574" s="493"/>
      <c r="BQ574" s="493"/>
      <c r="BR574" s="493"/>
      <c r="BS574" s="493"/>
      <c r="BT574" s="493"/>
      <c r="BU574" s="493"/>
      <c r="BV574" s="493"/>
      <c r="BW574" s="493"/>
      <c r="BX574" s="493"/>
      <c r="BY574" s="493"/>
      <c r="BZ574" s="493"/>
      <c r="CA574" s="493"/>
      <c r="CB574" s="493"/>
      <c r="CC574" s="493"/>
      <c r="CD574" s="493"/>
      <c r="CE574" s="493"/>
      <c r="CF574" s="493"/>
      <c r="CG574" s="493"/>
      <c r="CH574" s="493"/>
      <c r="CI574" s="493"/>
      <c r="CJ574" s="493"/>
      <c r="CK574" s="493"/>
      <c r="CL574" s="493"/>
      <c r="CM574" s="493"/>
      <c r="CN574" s="493"/>
      <c r="CO574" s="493"/>
      <c r="CP574" s="493"/>
      <c r="CQ574" s="493"/>
      <c r="CR574" s="493"/>
      <c r="CS574" s="493"/>
      <c r="CT574" s="493"/>
      <c r="CU574" s="493"/>
      <c r="CV574" s="493"/>
      <c r="CW574" s="493"/>
      <c r="CX574" s="493"/>
      <c r="CY574" s="493"/>
      <c r="CZ574" s="493"/>
      <c r="DA574" s="493"/>
      <c r="DB574" s="493"/>
      <c r="DC574" s="493"/>
      <c r="DD574" s="493"/>
      <c r="DE574" s="493"/>
      <c r="DF574" s="493"/>
      <c r="DG574" s="493"/>
      <c r="DH574" s="493"/>
      <c r="DI574" s="493"/>
      <c r="DJ574" s="493"/>
      <c r="DK574" s="493"/>
      <c r="DL574" s="493"/>
      <c r="DM574" s="493"/>
      <c r="DN574" s="493"/>
      <c r="DO574" s="493"/>
      <c r="DP574" s="493"/>
      <c r="DQ574" s="493"/>
      <c r="DR574" s="493"/>
      <c r="DS574" s="493"/>
      <c r="DT574" s="493"/>
      <c r="DU574" s="493"/>
      <c r="DV574" s="493"/>
      <c r="DW574" s="493"/>
      <c r="DX574" s="493"/>
      <c r="DY574" s="493"/>
      <c r="DZ574" s="493"/>
    </row>
    <row r="575" spans="1:130" hidden="1" outlineLevel="2">
      <c r="A575" s="438"/>
      <c r="B575" s="490" t="s">
        <v>237</v>
      </c>
      <c r="C575" s="398" t="s">
        <v>392</v>
      </c>
      <c r="D575" s="399" t="s">
        <v>391</v>
      </c>
      <c r="E575" s="490"/>
      <c r="F575" s="385"/>
      <c r="G575" s="385"/>
      <c r="H575" s="385" t="s">
        <v>1812</v>
      </c>
      <c r="I575" s="385" t="s">
        <v>156</v>
      </c>
      <c r="J575" s="489" t="s">
        <v>366</v>
      </c>
      <c r="K575" s="412"/>
      <c r="L575" s="412"/>
      <c r="M575" s="490" t="s">
        <v>37</v>
      </c>
      <c r="N575" s="490">
        <v>1</v>
      </c>
    </row>
    <row r="576" spans="1:130" hidden="1" outlineLevel="2">
      <c r="A576" s="438"/>
      <c r="B576" s="490" t="s">
        <v>237</v>
      </c>
      <c r="C576" s="398" t="s">
        <v>392</v>
      </c>
      <c r="D576" s="399" t="s">
        <v>391</v>
      </c>
      <c r="E576" s="490"/>
      <c r="F576" s="385"/>
      <c r="G576" s="385"/>
      <c r="H576" s="385" t="s">
        <v>471</v>
      </c>
      <c r="I576" s="385" t="s">
        <v>491</v>
      </c>
      <c r="J576" s="489" t="s">
        <v>366</v>
      </c>
      <c r="K576" s="412"/>
      <c r="L576" s="412"/>
      <c r="M576" s="490" t="s">
        <v>37</v>
      </c>
      <c r="N576" s="490">
        <v>1</v>
      </c>
    </row>
    <row r="577" spans="1:130" hidden="1" outlineLevel="2">
      <c r="A577" s="438"/>
      <c r="B577" s="490" t="s">
        <v>237</v>
      </c>
      <c r="C577" s="398" t="s">
        <v>408</v>
      </c>
      <c r="D577" s="399" t="s">
        <v>391</v>
      </c>
      <c r="E577" s="490"/>
      <c r="F577" s="385"/>
      <c r="G577" s="385"/>
      <c r="H577" s="385" t="s">
        <v>478</v>
      </c>
      <c r="I577" s="385" t="s">
        <v>472</v>
      </c>
      <c r="J577" s="489" t="s">
        <v>366</v>
      </c>
      <c r="K577" s="412"/>
      <c r="L577" s="412"/>
      <c r="M577" s="490" t="s">
        <v>37</v>
      </c>
      <c r="N577" s="490">
        <v>1</v>
      </c>
    </row>
    <row r="578" spans="1:130" hidden="1" outlineLevel="2">
      <c r="A578" s="438"/>
      <c r="B578" s="490" t="s">
        <v>237</v>
      </c>
      <c r="C578" s="398" t="s">
        <v>392</v>
      </c>
      <c r="D578" s="399" t="s">
        <v>391</v>
      </c>
      <c r="E578" s="490"/>
      <c r="F578" s="385"/>
      <c r="G578" s="385"/>
      <c r="H578" s="385" t="s">
        <v>475</v>
      </c>
      <c r="I578" s="385" t="s">
        <v>469</v>
      </c>
      <c r="J578" s="489" t="s">
        <v>366</v>
      </c>
      <c r="K578" s="412"/>
      <c r="L578" s="412"/>
      <c r="M578" s="490" t="s">
        <v>37</v>
      </c>
      <c r="N578" s="490">
        <v>3</v>
      </c>
    </row>
    <row r="579" spans="1:130" hidden="1" outlineLevel="2">
      <c r="A579" s="438"/>
      <c r="B579" s="490" t="s">
        <v>237</v>
      </c>
      <c r="C579" s="398" t="s">
        <v>392</v>
      </c>
      <c r="D579" s="399" t="s">
        <v>391</v>
      </c>
      <c r="E579" s="490"/>
      <c r="F579" s="385"/>
      <c r="G579" s="385"/>
      <c r="H579" s="385" t="s">
        <v>476</v>
      </c>
      <c r="I579" s="385" t="s">
        <v>473</v>
      </c>
      <c r="J579" s="489" t="s">
        <v>366</v>
      </c>
      <c r="K579" s="412"/>
      <c r="L579" s="412"/>
      <c r="M579" s="490" t="s">
        <v>37</v>
      </c>
      <c r="N579" s="490">
        <v>1</v>
      </c>
    </row>
    <row r="580" spans="1:130" hidden="1" outlineLevel="2">
      <c r="A580" s="450"/>
      <c r="B580" s="490" t="s">
        <v>237</v>
      </c>
      <c r="C580" s="398" t="s">
        <v>392</v>
      </c>
      <c r="D580" s="399" t="s">
        <v>391</v>
      </c>
      <c r="E580" s="490"/>
      <c r="F580" s="385"/>
      <c r="G580" s="385"/>
      <c r="H580" s="385" t="s">
        <v>477</v>
      </c>
      <c r="I580" s="385" t="s">
        <v>474</v>
      </c>
      <c r="J580" s="489" t="s">
        <v>366</v>
      </c>
      <c r="K580" s="412"/>
      <c r="L580" s="412"/>
      <c r="M580" s="490" t="s">
        <v>37</v>
      </c>
      <c r="N580" s="490">
        <v>1</v>
      </c>
    </row>
    <row r="581" spans="1:130" s="405" customFormat="1" ht="202.5" outlineLevel="1" collapsed="1">
      <c r="A581" s="489" t="s">
        <v>1342</v>
      </c>
      <c r="B581" s="490" t="s">
        <v>237</v>
      </c>
      <c r="C581" s="398" t="s">
        <v>408</v>
      </c>
      <c r="D581" s="399" t="s">
        <v>391</v>
      </c>
      <c r="E581" s="490" t="s">
        <v>479</v>
      </c>
      <c r="F581" s="385" t="s">
        <v>810</v>
      </c>
      <c r="G581" s="385"/>
      <c r="H581" s="401" t="s">
        <v>547</v>
      </c>
      <c r="I581" s="385" t="str">
        <f>CONCATENATE(I582," ","(",H582,")","-",N582," ",M582," ",I583,"  ","(",H583,")","-",N583," ",M583," ",I586," ","(",H586,")","-",N586," ",M586," ",I584," ","(",H584,")","-",N584," ",M584," ",I585," ","(",H585,")","-",N585," ",M585)</f>
        <v>Ремонт трансформаторов 110 кВ (1Т ТДТН-10000 , 2Т ТДТН-10000 )-2 шт. Ремонт разъединителя 110 кВ  (ШР-110 ТН-110 1С, ШР-110 ТН-110 2С , РРП-110  С-28, РРП-110  С-26, СР-110 1С, СР-110 2С, ТР-110 1Т , ТР-110 2Т ,1ШР-110 С-28 , 2ШР-110 С-26  )-10 шт. Ремонт выключателей 6-10 кВ (СВ-10 ЯЧ. 6  ВМГ-133 )-1 шт. Ремонт заземлителя 110 кВ (ЗОН  1Т, ЗОН  2Т )-2 шт. Ремонт ОПН, разрядников 110 кВ (ОПН-110  1Т, ОПН-110  2Т ,ОПН- 0  1Т , ОПН- 0  2Т, ОПН- 10  1Т , ОПН- 10  2Т  )-6 шт.</v>
      </c>
      <c r="J581" s="489" t="s">
        <v>366</v>
      </c>
      <c r="K581" s="450">
        <v>44317</v>
      </c>
      <c r="L581" s="450">
        <v>44347</v>
      </c>
      <c r="M581" s="490"/>
      <c r="N581" s="490"/>
      <c r="O581" s="493"/>
      <c r="P581" s="493"/>
      <c r="Q581" s="493"/>
      <c r="R581" s="493"/>
      <c r="S581" s="493"/>
      <c r="T581" s="493"/>
      <c r="U581" s="493"/>
      <c r="V581" s="493"/>
      <c r="W581" s="493"/>
      <c r="X581" s="493"/>
      <c r="Y581" s="493"/>
      <c r="Z581" s="493"/>
      <c r="AA581" s="493"/>
      <c r="AB581" s="493"/>
      <c r="AC581" s="493"/>
      <c r="AD581" s="493"/>
      <c r="AE581" s="493"/>
      <c r="AF581" s="493"/>
      <c r="AG581" s="493"/>
      <c r="AH581" s="493"/>
      <c r="AI581" s="493"/>
      <c r="AJ581" s="493"/>
      <c r="AK581" s="493"/>
      <c r="AL581" s="493"/>
      <c r="AM581" s="493"/>
      <c r="AN581" s="493"/>
      <c r="AO581" s="493"/>
      <c r="AP581" s="493"/>
      <c r="AQ581" s="493"/>
      <c r="AR581" s="493"/>
      <c r="AS581" s="493"/>
      <c r="AT581" s="493"/>
      <c r="AU581" s="493"/>
      <c r="AV581" s="493"/>
      <c r="AW581" s="493"/>
      <c r="AX581" s="493"/>
      <c r="AY581" s="493"/>
      <c r="AZ581" s="493"/>
      <c r="BA581" s="493"/>
      <c r="BB581" s="493"/>
      <c r="BC581" s="493"/>
      <c r="BD581" s="493"/>
      <c r="BE581" s="493"/>
      <c r="BF581" s="493"/>
      <c r="BG581" s="493"/>
      <c r="BH581" s="493"/>
      <c r="BI581" s="493"/>
      <c r="BJ581" s="493"/>
      <c r="BK581" s="493"/>
      <c r="BL581" s="493"/>
      <c r="BM581" s="493"/>
      <c r="BN581" s="493"/>
      <c r="BO581" s="493"/>
      <c r="BP581" s="493"/>
      <c r="BQ581" s="493"/>
      <c r="BR581" s="493"/>
      <c r="BS581" s="493"/>
      <c r="BT581" s="493"/>
      <c r="BU581" s="493"/>
      <c r="BV581" s="493"/>
      <c r="BW581" s="493"/>
      <c r="BX581" s="493"/>
      <c r="BY581" s="493"/>
      <c r="BZ581" s="493"/>
      <c r="CA581" s="493"/>
      <c r="CB581" s="493"/>
      <c r="CC581" s="493"/>
      <c r="CD581" s="493"/>
      <c r="CE581" s="493"/>
      <c r="CF581" s="493"/>
      <c r="CG581" s="493"/>
      <c r="CH581" s="493"/>
      <c r="CI581" s="493"/>
      <c r="CJ581" s="493"/>
      <c r="CK581" s="493"/>
      <c r="CL581" s="493"/>
      <c r="CM581" s="493"/>
      <c r="CN581" s="493"/>
      <c r="CO581" s="493"/>
      <c r="CP581" s="493"/>
      <c r="CQ581" s="493"/>
      <c r="CR581" s="493"/>
      <c r="CS581" s="493"/>
      <c r="CT581" s="493"/>
      <c r="CU581" s="493"/>
      <c r="CV581" s="493"/>
      <c r="CW581" s="493"/>
      <c r="CX581" s="493"/>
      <c r="CY581" s="493"/>
      <c r="CZ581" s="493"/>
      <c r="DA581" s="493"/>
      <c r="DB581" s="493"/>
      <c r="DC581" s="493"/>
      <c r="DD581" s="493"/>
      <c r="DE581" s="493"/>
      <c r="DF581" s="493"/>
      <c r="DG581" s="493"/>
      <c r="DH581" s="493"/>
      <c r="DI581" s="493"/>
      <c r="DJ581" s="493"/>
      <c r="DK581" s="493"/>
      <c r="DL581" s="493"/>
      <c r="DM581" s="493"/>
      <c r="DN581" s="493"/>
      <c r="DO581" s="493"/>
      <c r="DP581" s="493"/>
      <c r="DQ581" s="493"/>
      <c r="DR581" s="493"/>
      <c r="DS581" s="493"/>
      <c r="DT581" s="493"/>
      <c r="DU581" s="493"/>
      <c r="DV581" s="493"/>
      <c r="DW581" s="493"/>
      <c r="DX581" s="493"/>
      <c r="DY581" s="493"/>
      <c r="DZ581" s="493"/>
    </row>
    <row r="582" spans="1:130" hidden="1" outlineLevel="2">
      <c r="A582" s="438"/>
      <c r="B582" s="490" t="s">
        <v>237</v>
      </c>
      <c r="C582" s="398" t="s">
        <v>408</v>
      </c>
      <c r="D582" s="399" t="s">
        <v>391</v>
      </c>
      <c r="E582" s="490"/>
      <c r="F582" s="385"/>
      <c r="G582" s="385"/>
      <c r="H582" s="385" t="s">
        <v>480</v>
      </c>
      <c r="I582" s="385" t="s">
        <v>156</v>
      </c>
      <c r="J582" s="489" t="s">
        <v>366</v>
      </c>
      <c r="K582" s="412"/>
      <c r="L582" s="412"/>
      <c r="M582" s="490" t="s">
        <v>37</v>
      </c>
      <c r="N582" s="490">
        <v>2</v>
      </c>
    </row>
    <row r="583" spans="1:130" ht="81" hidden="1" outlineLevel="2">
      <c r="A583" s="438"/>
      <c r="B583" s="490" t="s">
        <v>237</v>
      </c>
      <c r="C583" s="398" t="s">
        <v>408</v>
      </c>
      <c r="D583" s="399" t="s">
        <v>391</v>
      </c>
      <c r="E583" s="490"/>
      <c r="F583" s="385"/>
      <c r="G583" s="385"/>
      <c r="H583" s="385" t="s">
        <v>481</v>
      </c>
      <c r="I583" s="385" t="s">
        <v>469</v>
      </c>
      <c r="J583" s="489" t="s">
        <v>366</v>
      </c>
      <c r="K583" s="412"/>
      <c r="L583" s="412"/>
      <c r="M583" s="490" t="s">
        <v>37</v>
      </c>
      <c r="N583" s="490">
        <v>10</v>
      </c>
    </row>
    <row r="584" spans="1:130" hidden="1" outlineLevel="2">
      <c r="A584" s="438"/>
      <c r="B584" s="490" t="s">
        <v>237</v>
      </c>
      <c r="C584" s="398" t="s">
        <v>408</v>
      </c>
      <c r="D584" s="399" t="s">
        <v>391</v>
      </c>
      <c r="E584" s="490"/>
      <c r="F584" s="385"/>
      <c r="G584" s="385"/>
      <c r="H584" s="385" t="s">
        <v>482</v>
      </c>
      <c r="I584" s="385" t="s">
        <v>472</v>
      </c>
      <c r="J584" s="489" t="s">
        <v>366</v>
      </c>
      <c r="K584" s="412"/>
      <c r="L584" s="412"/>
      <c r="M584" s="490" t="s">
        <v>37</v>
      </c>
      <c r="N584" s="490">
        <v>2</v>
      </c>
    </row>
    <row r="585" spans="1:130" ht="40.5" hidden="1" outlineLevel="2">
      <c r="A585" s="438"/>
      <c r="B585" s="490" t="s">
        <v>237</v>
      </c>
      <c r="C585" s="398" t="s">
        <v>408</v>
      </c>
      <c r="D585" s="399" t="s">
        <v>391</v>
      </c>
      <c r="E585" s="490"/>
      <c r="F585" s="385"/>
      <c r="G585" s="385"/>
      <c r="H585" s="385" t="s">
        <v>483</v>
      </c>
      <c r="I585" s="385" t="s">
        <v>463</v>
      </c>
      <c r="J585" s="489" t="s">
        <v>366</v>
      </c>
      <c r="K585" s="412"/>
      <c r="L585" s="412"/>
      <c r="M585" s="490" t="s">
        <v>37</v>
      </c>
      <c r="N585" s="490">
        <v>6</v>
      </c>
    </row>
    <row r="586" spans="1:130" hidden="1" outlineLevel="2">
      <c r="A586" s="438"/>
      <c r="B586" s="490" t="s">
        <v>237</v>
      </c>
      <c r="C586" s="398" t="s">
        <v>408</v>
      </c>
      <c r="D586" s="399" t="s">
        <v>391</v>
      </c>
      <c r="E586" s="490"/>
      <c r="F586" s="385"/>
      <c r="G586" s="385"/>
      <c r="H586" s="385" t="s">
        <v>484</v>
      </c>
      <c r="I586" s="385" t="s">
        <v>191</v>
      </c>
      <c r="J586" s="489" t="s">
        <v>366</v>
      </c>
      <c r="K586" s="412"/>
      <c r="L586" s="412"/>
      <c r="M586" s="490" t="s">
        <v>37</v>
      </c>
      <c r="N586" s="490">
        <v>1</v>
      </c>
    </row>
    <row r="587" spans="1:130" s="405" customFormat="1" ht="81" outlineLevel="1" collapsed="1">
      <c r="A587" s="489" t="s">
        <v>1343</v>
      </c>
      <c r="B587" s="490" t="s">
        <v>237</v>
      </c>
      <c r="C587" s="398" t="s">
        <v>408</v>
      </c>
      <c r="D587" s="399" t="s">
        <v>391</v>
      </c>
      <c r="E587" s="490" t="s">
        <v>485</v>
      </c>
      <c r="F587" s="385" t="s">
        <v>810</v>
      </c>
      <c r="G587" s="385"/>
      <c r="H587" s="401" t="s">
        <v>548</v>
      </c>
      <c r="I587" s="385" t="str">
        <f>CONCATENATE(I588," ","(",H588,")","-",N588," ",M588," ",I589,"  ","(",H589,")","-",N589," ",M589," ",I590," ","(",H590,")","-",N590," ",M590," ",I591," ",N591,M591,)</f>
        <v>Ремонт трансформаторов 110 кВ (1Т ТМ-6300 )-1 шт. Ремонт ОПН, разрядников 6-10 кВ  (ОПН-10 )-3 шт. Ремонт разъединителя 6-10 кВ (ШР-10,ЛР-10 яч.1,7,8,9)-2 шт. Ремонт блокировок 1шт.</v>
      </c>
      <c r="J587" s="489" t="s">
        <v>366</v>
      </c>
      <c r="K587" s="450">
        <v>44348</v>
      </c>
      <c r="L587" s="450">
        <v>44377</v>
      </c>
      <c r="M587" s="490"/>
      <c r="N587" s="490"/>
      <c r="O587" s="493"/>
      <c r="P587" s="493"/>
      <c r="Q587" s="493"/>
      <c r="R587" s="493"/>
      <c r="S587" s="493"/>
      <c r="T587" s="493"/>
      <c r="U587" s="493"/>
      <c r="V587" s="493"/>
      <c r="W587" s="493"/>
      <c r="X587" s="493"/>
      <c r="Y587" s="493"/>
      <c r="Z587" s="493"/>
      <c r="AA587" s="493"/>
      <c r="AB587" s="493"/>
      <c r="AC587" s="493"/>
      <c r="AD587" s="493"/>
      <c r="AE587" s="493"/>
      <c r="AF587" s="493"/>
      <c r="AG587" s="493"/>
      <c r="AH587" s="493"/>
      <c r="AI587" s="493"/>
      <c r="AJ587" s="493"/>
      <c r="AK587" s="493"/>
      <c r="AL587" s="493"/>
      <c r="AM587" s="493"/>
      <c r="AN587" s="493"/>
      <c r="AO587" s="493"/>
      <c r="AP587" s="493"/>
      <c r="AQ587" s="493"/>
      <c r="AR587" s="493"/>
      <c r="AS587" s="493"/>
      <c r="AT587" s="493"/>
      <c r="AU587" s="493"/>
      <c r="AV587" s="493"/>
      <c r="AW587" s="493"/>
      <c r="AX587" s="493"/>
      <c r="AY587" s="493"/>
      <c r="AZ587" s="493"/>
      <c r="BA587" s="493"/>
      <c r="BB587" s="493"/>
      <c r="BC587" s="493"/>
      <c r="BD587" s="493"/>
      <c r="BE587" s="493"/>
      <c r="BF587" s="493"/>
      <c r="BG587" s="493"/>
      <c r="BH587" s="493"/>
      <c r="BI587" s="493"/>
      <c r="BJ587" s="493"/>
      <c r="BK587" s="493"/>
      <c r="BL587" s="493"/>
      <c r="BM587" s="493"/>
      <c r="BN587" s="493"/>
      <c r="BO587" s="493"/>
      <c r="BP587" s="493"/>
      <c r="BQ587" s="493"/>
      <c r="BR587" s="493"/>
      <c r="BS587" s="493"/>
      <c r="BT587" s="493"/>
      <c r="BU587" s="493"/>
      <c r="BV587" s="493"/>
      <c r="BW587" s="493"/>
      <c r="BX587" s="493"/>
      <c r="BY587" s="493"/>
      <c r="BZ587" s="493"/>
      <c r="CA587" s="493"/>
      <c r="CB587" s="493"/>
      <c r="CC587" s="493"/>
      <c r="CD587" s="493"/>
      <c r="CE587" s="493"/>
      <c r="CF587" s="493"/>
      <c r="CG587" s="493"/>
      <c r="CH587" s="493"/>
      <c r="CI587" s="493"/>
      <c r="CJ587" s="493"/>
      <c r="CK587" s="493"/>
      <c r="CL587" s="493"/>
      <c r="CM587" s="493"/>
      <c r="CN587" s="493"/>
      <c r="CO587" s="493"/>
      <c r="CP587" s="493"/>
      <c r="CQ587" s="493"/>
      <c r="CR587" s="493"/>
      <c r="CS587" s="493"/>
      <c r="CT587" s="493"/>
      <c r="CU587" s="493"/>
      <c r="CV587" s="493"/>
      <c r="CW587" s="493"/>
      <c r="CX587" s="493"/>
      <c r="CY587" s="493"/>
      <c r="CZ587" s="493"/>
      <c r="DA587" s="493"/>
      <c r="DB587" s="493"/>
      <c r="DC587" s="493"/>
      <c r="DD587" s="493"/>
      <c r="DE587" s="493"/>
      <c r="DF587" s="493"/>
      <c r="DG587" s="493"/>
      <c r="DH587" s="493"/>
      <c r="DI587" s="493"/>
      <c r="DJ587" s="493"/>
      <c r="DK587" s="493"/>
      <c r="DL587" s="493"/>
      <c r="DM587" s="493"/>
      <c r="DN587" s="493"/>
      <c r="DO587" s="493"/>
      <c r="DP587" s="493"/>
      <c r="DQ587" s="493"/>
      <c r="DR587" s="493"/>
      <c r="DS587" s="493"/>
      <c r="DT587" s="493"/>
      <c r="DU587" s="493"/>
      <c r="DV587" s="493"/>
      <c r="DW587" s="493"/>
      <c r="DX587" s="493"/>
      <c r="DY587" s="493"/>
      <c r="DZ587" s="493"/>
    </row>
    <row r="588" spans="1:130" hidden="1" outlineLevel="2">
      <c r="A588" s="438"/>
      <c r="B588" s="490" t="s">
        <v>237</v>
      </c>
      <c r="C588" s="398" t="s">
        <v>408</v>
      </c>
      <c r="D588" s="399" t="s">
        <v>391</v>
      </c>
      <c r="E588" s="490"/>
      <c r="F588" s="385"/>
      <c r="G588" s="385"/>
      <c r="H588" s="385" t="s">
        <v>488</v>
      </c>
      <c r="I588" s="385" t="s">
        <v>156</v>
      </c>
      <c r="J588" s="489" t="s">
        <v>366</v>
      </c>
      <c r="K588" s="412"/>
      <c r="L588" s="412"/>
      <c r="M588" s="490" t="s">
        <v>37</v>
      </c>
      <c r="N588" s="490">
        <v>1</v>
      </c>
    </row>
    <row r="589" spans="1:130" hidden="1" outlineLevel="2">
      <c r="A589" s="438"/>
      <c r="B589" s="490" t="s">
        <v>237</v>
      </c>
      <c r="C589" s="398" t="s">
        <v>408</v>
      </c>
      <c r="D589" s="399" t="s">
        <v>391</v>
      </c>
      <c r="E589" s="490"/>
      <c r="F589" s="385"/>
      <c r="G589" s="385"/>
      <c r="H589" s="385" t="s">
        <v>487</v>
      </c>
      <c r="I589" s="385" t="s">
        <v>625</v>
      </c>
      <c r="J589" s="489" t="s">
        <v>366</v>
      </c>
      <c r="K589" s="412"/>
      <c r="L589" s="412"/>
      <c r="M589" s="490" t="s">
        <v>37</v>
      </c>
      <c r="N589" s="490">
        <v>3</v>
      </c>
    </row>
    <row r="590" spans="1:130" hidden="1" outlineLevel="2">
      <c r="A590" s="438"/>
      <c r="B590" s="490" t="s">
        <v>237</v>
      </c>
      <c r="C590" s="398" t="s">
        <v>408</v>
      </c>
      <c r="D590" s="399" t="s">
        <v>391</v>
      </c>
      <c r="E590" s="490"/>
      <c r="F590" s="385"/>
      <c r="G590" s="385"/>
      <c r="H590" s="385" t="s">
        <v>3723</v>
      </c>
      <c r="I590" s="385" t="s">
        <v>3370</v>
      </c>
      <c r="J590" s="489" t="s">
        <v>366</v>
      </c>
      <c r="K590" s="412"/>
      <c r="L590" s="412"/>
      <c r="M590" s="490" t="s">
        <v>37</v>
      </c>
      <c r="N590" s="490">
        <v>2</v>
      </c>
    </row>
    <row r="591" spans="1:130" hidden="1" outlineLevel="2">
      <c r="A591" s="438"/>
      <c r="B591" s="490" t="s">
        <v>245</v>
      </c>
      <c r="C591" s="398" t="s">
        <v>408</v>
      </c>
      <c r="D591" s="399" t="s">
        <v>391</v>
      </c>
      <c r="E591" s="490"/>
      <c r="F591" s="385"/>
      <c r="G591" s="385"/>
      <c r="H591" s="385"/>
      <c r="I591" s="385" t="s">
        <v>3371</v>
      </c>
      <c r="J591" s="489" t="s">
        <v>366</v>
      </c>
      <c r="K591" s="412"/>
      <c r="L591" s="412"/>
      <c r="M591" s="490" t="s">
        <v>37</v>
      </c>
      <c r="N591" s="490">
        <v>1</v>
      </c>
    </row>
    <row r="592" spans="1:130" s="405" customFormat="1" ht="222.75" outlineLevel="1" collapsed="1">
      <c r="A592" s="489" t="s">
        <v>1344</v>
      </c>
      <c r="B592" s="490" t="s">
        <v>237</v>
      </c>
      <c r="C592" s="398" t="s">
        <v>408</v>
      </c>
      <c r="D592" s="399" t="s">
        <v>391</v>
      </c>
      <c r="E592" s="490" t="s">
        <v>496</v>
      </c>
      <c r="F592" s="385" t="s">
        <v>810</v>
      </c>
      <c r="G592" s="385"/>
      <c r="H592" s="401" t="s">
        <v>544</v>
      </c>
      <c r="I592" s="385" t="str">
        <f>CONCATENATE(I593," ","(",H593,")","-",N593," ",M593," ",I597,"  ","(",H597,")","-",N597," ",M597," ",I598,"  ","(",H598,")","-",N598," ",M598," ",I599,"  ","(",H599,")","-",N599," ",M599," ",I594," ","(",H594,")","-",N594," ",M594," ",I595," ","(",H595,")","-",N595," ",M595," ",I596," ","(",H596,")","-",N596," ",M596," ",I600," ","(",H600,")","-",N600," ",M600," ",I601," ","(",H601,")","-",N601," ",M601," ",I602," ",N602,M602,)</f>
        <v>Ремонт трансформаторов 110 кВ (1Т  ТМТН-6300, 2Т  ТМТН-6300  )-2 шт. Ремонт ОПН, разрядников 110 кВ  (ОПН 110 кВ)-6 шт. Ремонт ОПН, разрядников 35 кВ  (ОПН 35 кВ)-6 шт. Ремонт ОПН, разрядников 6-10 кВ  (ОПН 6 кВ)-6 шт. Ремонт отделителя 110 кВ (ОД-110  1Т, ОД-110  2Т )-2 шт. Ремонт короткозамыкателя 110 кВ (КЗ-110 1Т, КЗ-110 2Т)-2 шт. Ремонт заземлителя 110 кВ (ЗОН-110 1Т,ЗОН-110 2Т)-2 шт. Ремонт разъединителя 10 кВ (СР-10 яч.13  )-1 шт. Ремонт трансформатора напряжения 10 кВ (ТН-10 1С яч.8, ТН-10 2С яч.17 )-2 шт. Ремонт блокировок 1шт.</v>
      </c>
      <c r="J592" s="489" t="s">
        <v>366</v>
      </c>
      <c r="K592" s="450">
        <v>44378</v>
      </c>
      <c r="L592" s="450">
        <v>44408</v>
      </c>
      <c r="M592" s="490"/>
      <c r="N592" s="490"/>
      <c r="O592" s="493"/>
      <c r="P592" s="493"/>
      <c r="Q592" s="493"/>
      <c r="R592" s="493"/>
      <c r="S592" s="493"/>
      <c r="T592" s="493"/>
      <c r="U592" s="493"/>
      <c r="V592" s="493"/>
      <c r="W592" s="493"/>
      <c r="X592" s="493"/>
      <c r="Y592" s="493"/>
      <c r="Z592" s="493"/>
      <c r="AA592" s="493"/>
      <c r="AB592" s="493"/>
      <c r="AC592" s="493"/>
      <c r="AD592" s="493"/>
      <c r="AE592" s="493"/>
      <c r="AF592" s="493"/>
      <c r="AG592" s="493"/>
      <c r="AH592" s="493"/>
      <c r="AI592" s="493"/>
      <c r="AJ592" s="493"/>
      <c r="AK592" s="493"/>
      <c r="AL592" s="493"/>
      <c r="AM592" s="493"/>
      <c r="AN592" s="493"/>
      <c r="AO592" s="493"/>
      <c r="AP592" s="493"/>
      <c r="AQ592" s="493"/>
      <c r="AR592" s="493"/>
      <c r="AS592" s="493"/>
      <c r="AT592" s="493"/>
      <c r="AU592" s="493"/>
      <c r="AV592" s="493"/>
      <c r="AW592" s="493"/>
      <c r="AX592" s="493"/>
      <c r="AY592" s="493"/>
      <c r="AZ592" s="493"/>
      <c r="BA592" s="493"/>
      <c r="BB592" s="493"/>
      <c r="BC592" s="493"/>
      <c r="BD592" s="493"/>
      <c r="BE592" s="493"/>
      <c r="BF592" s="493"/>
      <c r="BG592" s="493"/>
      <c r="BH592" s="493"/>
      <c r="BI592" s="493"/>
      <c r="BJ592" s="493"/>
      <c r="BK592" s="493"/>
      <c r="BL592" s="493"/>
      <c r="BM592" s="493"/>
      <c r="BN592" s="493"/>
      <c r="BO592" s="493"/>
      <c r="BP592" s="493"/>
      <c r="BQ592" s="493"/>
      <c r="BR592" s="493"/>
      <c r="BS592" s="493"/>
      <c r="BT592" s="493"/>
      <c r="BU592" s="493"/>
      <c r="BV592" s="493"/>
      <c r="BW592" s="493"/>
      <c r="BX592" s="493"/>
      <c r="BY592" s="493"/>
      <c r="BZ592" s="493"/>
      <c r="CA592" s="493"/>
      <c r="CB592" s="493"/>
      <c r="CC592" s="493"/>
      <c r="CD592" s="493"/>
      <c r="CE592" s="493"/>
      <c r="CF592" s="493"/>
      <c r="CG592" s="493"/>
      <c r="CH592" s="493"/>
      <c r="CI592" s="493"/>
      <c r="CJ592" s="493"/>
      <c r="CK592" s="493"/>
      <c r="CL592" s="493"/>
      <c r="CM592" s="493"/>
      <c r="CN592" s="493"/>
      <c r="CO592" s="493"/>
      <c r="CP592" s="493"/>
      <c r="CQ592" s="493"/>
      <c r="CR592" s="493"/>
      <c r="CS592" s="493"/>
      <c r="CT592" s="493"/>
      <c r="CU592" s="493"/>
      <c r="CV592" s="493"/>
      <c r="CW592" s="493"/>
      <c r="CX592" s="493"/>
      <c r="CY592" s="493"/>
      <c r="CZ592" s="493"/>
      <c r="DA592" s="493"/>
      <c r="DB592" s="493"/>
      <c r="DC592" s="493"/>
      <c r="DD592" s="493"/>
      <c r="DE592" s="493"/>
      <c r="DF592" s="493"/>
      <c r="DG592" s="493"/>
      <c r="DH592" s="493"/>
      <c r="DI592" s="493"/>
      <c r="DJ592" s="493"/>
      <c r="DK592" s="493"/>
      <c r="DL592" s="493"/>
      <c r="DM592" s="493"/>
      <c r="DN592" s="493"/>
      <c r="DO592" s="493"/>
      <c r="DP592" s="493"/>
      <c r="DQ592" s="493"/>
      <c r="DR592" s="493"/>
      <c r="DS592" s="493"/>
      <c r="DT592" s="493"/>
      <c r="DU592" s="493"/>
      <c r="DV592" s="493"/>
      <c r="DW592" s="493"/>
      <c r="DX592" s="493"/>
      <c r="DY592" s="493"/>
      <c r="DZ592" s="493"/>
    </row>
    <row r="593" spans="1:130" hidden="1" outlineLevel="2">
      <c r="A593" s="438"/>
      <c r="B593" s="490" t="s">
        <v>237</v>
      </c>
      <c r="C593" s="398" t="s">
        <v>408</v>
      </c>
      <c r="D593" s="399" t="s">
        <v>391</v>
      </c>
      <c r="E593" s="490"/>
      <c r="F593" s="385"/>
      <c r="G593" s="385"/>
      <c r="H593" s="385" t="s">
        <v>499</v>
      </c>
      <c r="I593" s="385" t="s">
        <v>156</v>
      </c>
      <c r="J593" s="489" t="s">
        <v>366</v>
      </c>
      <c r="K593" s="412"/>
      <c r="L593" s="412"/>
      <c r="M593" s="490" t="s">
        <v>37</v>
      </c>
      <c r="N593" s="490">
        <v>2</v>
      </c>
    </row>
    <row r="594" spans="1:130" hidden="1" outlineLevel="2">
      <c r="A594" s="438"/>
      <c r="B594" s="490" t="s">
        <v>237</v>
      </c>
      <c r="C594" s="398" t="s">
        <v>408</v>
      </c>
      <c r="D594" s="399" t="s">
        <v>391</v>
      </c>
      <c r="E594" s="490"/>
      <c r="F594" s="385"/>
      <c r="G594" s="385"/>
      <c r="H594" s="385" t="s">
        <v>500</v>
      </c>
      <c r="I594" s="385" t="s">
        <v>473</v>
      </c>
      <c r="J594" s="489" t="s">
        <v>366</v>
      </c>
      <c r="K594" s="412"/>
      <c r="L594" s="412"/>
      <c r="M594" s="490" t="s">
        <v>37</v>
      </c>
      <c r="N594" s="490">
        <v>2</v>
      </c>
    </row>
    <row r="595" spans="1:130" hidden="1" outlineLevel="2">
      <c r="A595" s="450"/>
      <c r="B595" s="490" t="s">
        <v>237</v>
      </c>
      <c r="C595" s="398" t="s">
        <v>408</v>
      </c>
      <c r="D595" s="399" t="s">
        <v>391</v>
      </c>
      <c r="E595" s="490"/>
      <c r="F595" s="385"/>
      <c r="G595" s="385"/>
      <c r="H595" s="385" t="s">
        <v>501</v>
      </c>
      <c r="I595" s="385" t="s">
        <v>474</v>
      </c>
      <c r="J595" s="489" t="s">
        <v>366</v>
      </c>
      <c r="K595" s="412"/>
      <c r="L595" s="412"/>
      <c r="M595" s="490" t="s">
        <v>37</v>
      </c>
      <c r="N595" s="490">
        <v>2</v>
      </c>
    </row>
    <row r="596" spans="1:130" hidden="1" outlineLevel="2">
      <c r="A596" s="438"/>
      <c r="B596" s="490" t="s">
        <v>237</v>
      </c>
      <c r="C596" s="398" t="s">
        <v>408</v>
      </c>
      <c r="D596" s="399" t="s">
        <v>391</v>
      </c>
      <c r="E596" s="490"/>
      <c r="F596" s="385"/>
      <c r="G596" s="385"/>
      <c r="H596" s="385" t="s">
        <v>502</v>
      </c>
      <c r="I596" s="385" t="s">
        <v>472</v>
      </c>
      <c r="J596" s="489" t="s">
        <v>366</v>
      </c>
      <c r="K596" s="412"/>
      <c r="L596" s="412"/>
      <c r="M596" s="490" t="s">
        <v>37</v>
      </c>
      <c r="N596" s="490">
        <v>2</v>
      </c>
    </row>
    <row r="597" spans="1:130" hidden="1" outlineLevel="2">
      <c r="A597" s="438"/>
      <c r="B597" s="490" t="s">
        <v>237</v>
      </c>
      <c r="C597" s="398" t="s">
        <v>408</v>
      </c>
      <c r="D597" s="399" t="s">
        <v>391</v>
      </c>
      <c r="E597" s="490"/>
      <c r="F597" s="385"/>
      <c r="G597" s="385"/>
      <c r="H597" s="385" t="s">
        <v>505</v>
      </c>
      <c r="I597" s="385" t="s">
        <v>463</v>
      </c>
      <c r="J597" s="489" t="s">
        <v>366</v>
      </c>
      <c r="K597" s="412"/>
      <c r="L597" s="412"/>
      <c r="M597" s="490" t="s">
        <v>37</v>
      </c>
      <c r="N597" s="490">
        <v>6</v>
      </c>
    </row>
    <row r="598" spans="1:130" hidden="1" outlineLevel="2">
      <c r="A598" s="438"/>
      <c r="B598" s="490" t="s">
        <v>237</v>
      </c>
      <c r="C598" s="398" t="s">
        <v>408</v>
      </c>
      <c r="D598" s="399" t="s">
        <v>391</v>
      </c>
      <c r="E598" s="490"/>
      <c r="F598" s="385"/>
      <c r="G598" s="385"/>
      <c r="H598" s="385" t="s">
        <v>506</v>
      </c>
      <c r="I598" s="385" t="s">
        <v>491</v>
      </c>
      <c r="J598" s="489" t="s">
        <v>366</v>
      </c>
      <c r="K598" s="412"/>
      <c r="L598" s="412"/>
      <c r="M598" s="490" t="s">
        <v>37</v>
      </c>
      <c r="N598" s="490">
        <v>6</v>
      </c>
    </row>
    <row r="599" spans="1:130" hidden="1" outlineLevel="2">
      <c r="A599" s="438"/>
      <c r="B599" s="490" t="s">
        <v>237</v>
      </c>
      <c r="C599" s="398" t="s">
        <v>408</v>
      </c>
      <c r="D599" s="399" t="s">
        <v>391</v>
      </c>
      <c r="E599" s="490"/>
      <c r="F599" s="385"/>
      <c r="G599" s="385"/>
      <c r="H599" s="385" t="s">
        <v>507</v>
      </c>
      <c r="I599" s="385" t="s">
        <v>625</v>
      </c>
      <c r="J599" s="489" t="s">
        <v>366</v>
      </c>
      <c r="K599" s="412"/>
      <c r="L599" s="412"/>
      <c r="M599" s="490" t="s">
        <v>37</v>
      </c>
      <c r="N599" s="490">
        <v>6</v>
      </c>
    </row>
    <row r="600" spans="1:130" hidden="1" outlineLevel="2">
      <c r="A600" s="438"/>
      <c r="B600" s="490" t="s">
        <v>237</v>
      </c>
      <c r="C600" s="398" t="s">
        <v>408</v>
      </c>
      <c r="D600" s="399" t="s">
        <v>391</v>
      </c>
      <c r="E600" s="490"/>
      <c r="F600" s="385"/>
      <c r="G600" s="385"/>
      <c r="H600" s="385" t="s">
        <v>503</v>
      </c>
      <c r="I600" s="385" t="s">
        <v>513</v>
      </c>
      <c r="J600" s="489" t="s">
        <v>366</v>
      </c>
      <c r="K600" s="412"/>
      <c r="L600" s="412"/>
      <c r="M600" s="490" t="s">
        <v>37</v>
      </c>
      <c r="N600" s="490">
        <v>1</v>
      </c>
    </row>
    <row r="601" spans="1:130" hidden="1" outlineLevel="2">
      <c r="A601" s="438"/>
      <c r="B601" s="490" t="s">
        <v>237</v>
      </c>
      <c r="C601" s="398" t="s">
        <v>408</v>
      </c>
      <c r="D601" s="399" t="s">
        <v>391</v>
      </c>
      <c r="E601" s="490"/>
      <c r="F601" s="385"/>
      <c r="G601" s="385"/>
      <c r="H601" s="385" t="s">
        <v>504</v>
      </c>
      <c r="I601" s="385" t="s">
        <v>539</v>
      </c>
      <c r="J601" s="489" t="s">
        <v>366</v>
      </c>
      <c r="K601" s="412"/>
      <c r="L601" s="412"/>
      <c r="M601" s="490" t="s">
        <v>37</v>
      </c>
      <c r="N601" s="490">
        <v>2</v>
      </c>
    </row>
    <row r="602" spans="1:130" hidden="1" outlineLevel="2">
      <c r="A602" s="438"/>
      <c r="B602" s="490" t="s">
        <v>245</v>
      </c>
      <c r="C602" s="398" t="s">
        <v>408</v>
      </c>
      <c r="D602" s="399" t="s">
        <v>391</v>
      </c>
      <c r="E602" s="490"/>
      <c r="F602" s="385"/>
      <c r="G602" s="385"/>
      <c r="H602" s="385"/>
      <c r="I602" s="385" t="s">
        <v>3371</v>
      </c>
      <c r="J602" s="489" t="s">
        <v>366</v>
      </c>
      <c r="K602" s="412"/>
      <c r="L602" s="412"/>
      <c r="M602" s="490" t="s">
        <v>37</v>
      </c>
      <c r="N602" s="490">
        <v>1</v>
      </c>
    </row>
    <row r="603" spans="1:130" s="405" customFormat="1" ht="182.25" outlineLevel="1" collapsed="1">
      <c r="A603" s="489" t="s">
        <v>1345</v>
      </c>
      <c r="B603" s="490" t="s">
        <v>237</v>
      </c>
      <c r="C603" s="398" t="s">
        <v>408</v>
      </c>
      <c r="D603" s="399" t="s">
        <v>391</v>
      </c>
      <c r="E603" s="490" t="s">
        <v>508</v>
      </c>
      <c r="F603" s="385" t="s">
        <v>810</v>
      </c>
      <c r="G603" s="385"/>
      <c r="H603" s="401" t="s">
        <v>550</v>
      </c>
      <c r="I603" s="385" t="str">
        <f>CONCATENATE(I604," ","(",H604,")","-",N604," ",M604," ",I608,"  ","(",H608,")","-",N608," ",M608," ",I605," ","(",H605,")","-",N605," ",M605," ",I606," ","(",H606,")","-",N606," ",M606," ",I607," ","(",H607,")","-",N607," ",M607," ",I609," ","(",H609,")","-",N609," ",M609," ",I610," ","(",H610,")","-",N610," ",M610)</f>
        <v>Ремонт трансформаторов 110 кВ (1Т  ТМТН-6300, 2Т  ТМТН-6300  )-2 шт. Ремонт ОПН, разрядников 110 кВ  (ОПН 110 кВ 1Т, ОПН 110 кВ 2Т)-6 шт. Ремонт отделителя 110 кВ (ОД-110  1Т, ОД-110  2Т )-1 шт. Ремонт короткозамыкателя 110 кВ (КЗ-110 1Т, КЗ-110 2Т)-2 шт. Ремонт заземлителя 110 кВ (ЗОН-110 1Т,ЗОН-110 2Т)-2 шт. Ремонт трансформатора тока 35 кВ (ТТ-35 Т-72 )-2 шт. Ремонт трансформатора напряжения 35 кВ (ТН-35 1С , ТН-35 2С )-2 шт.</v>
      </c>
      <c r="J603" s="489" t="s">
        <v>366</v>
      </c>
      <c r="K603" s="450">
        <v>44317</v>
      </c>
      <c r="L603" s="450">
        <v>44347</v>
      </c>
      <c r="M603" s="490"/>
      <c r="N603" s="490"/>
      <c r="O603" s="493"/>
      <c r="P603" s="493"/>
      <c r="Q603" s="493"/>
      <c r="R603" s="493"/>
      <c r="S603" s="493"/>
      <c r="T603" s="493"/>
      <c r="U603" s="493"/>
      <c r="V603" s="493"/>
      <c r="W603" s="493"/>
      <c r="X603" s="493"/>
      <c r="Y603" s="493"/>
      <c r="Z603" s="493"/>
      <c r="AA603" s="493"/>
      <c r="AB603" s="493"/>
      <c r="AC603" s="493"/>
      <c r="AD603" s="493"/>
      <c r="AE603" s="493"/>
      <c r="AF603" s="493"/>
      <c r="AG603" s="493"/>
      <c r="AH603" s="493"/>
      <c r="AI603" s="493"/>
      <c r="AJ603" s="493"/>
      <c r="AK603" s="493"/>
      <c r="AL603" s="493"/>
      <c r="AM603" s="493"/>
      <c r="AN603" s="493"/>
      <c r="AO603" s="493"/>
      <c r="AP603" s="493"/>
      <c r="AQ603" s="493"/>
      <c r="AR603" s="493"/>
      <c r="AS603" s="493"/>
      <c r="AT603" s="493"/>
      <c r="AU603" s="493"/>
      <c r="AV603" s="493"/>
      <c r="AW603" s="493"/>
      <c r="AX603" s="493"/>
      <c r="AY603" s="493"/>
      <c r="AZ603" s="493"/>
      <c r="BA603" s="493"/>
      <c r="BB603" s="493"/>
      <c r="BC603" s="493"/>
      <c r="BD603" s="493"/>
      <c r="BE603" s="493"/>
      <c r="BF603" s="493"/>
      <c r="BG603" s="493"/>
      <c r="BH603" s="493"/>
      <c r="BI603" s="493"/>
      <c r="BJ603" s="493"/>
      <c r="BK603" s="493"/>
      <c r="BL603" s="493"/>
      <c r="BM603" s="493"/>
      <c r="BN603" s="493"/>
      <c r="BO603" s="493"/>
      <c r="BP603" s="493"/>
      <c r="BQ603" s="493"/>
      <c r="BR603" s="493"/>
      <c r="BS603" s="493"/>
      <c r="BT603" s="493"/>
      <c r="BU603" s="493"/>
      <c r="BV603" s="493"/>
      <c r="BW603" s="493"/>
      <c r="BX603" s="493"/>
      <c r="BY603" s="493"/>
      <c r="BZ603" s="493"/>
      <c r="CA603" s="493"/>
      <c r="CB603" s="493"/>
      <c r="CC603" s="493"/>
      <c r="CD603" s="493"/>
      <c r="CE603" s="493"/>
      <c r="CF603" s="493"/>
      <c r="CG603" s="493"/>
      <c r="CH603" s="493"/>
      <c r="CI603" s="493"/>
      <c r="CJ603" s="493"/>
      <c r="CK603" s="493"/>
      <c r="CL603" s="493"/>
      <c r="CM603" s="493"/>
      <c r="CN603" s="493"/>
      <c r="CO603" s="493"/>
      <c r="CP603" s="493"/>
      <c r="CQ603" s="493"/>
      <c r="CR603" s="493"/>
      <c r="CS603" s="493"/>
      <c r="CT603" s="493"/>
      <c r="CU603" s="493"/>
      <c r="CV603" s="493"/>
      <c r="CW603" s="493"/>
      <c r="CX603" s="493"/>
      <c r="CY603" s="493"/>
      <c r="CZ603" s="493"/>
      <c r="DA603" s="493"/>
      <c r="DB603" s="493"/>
      <c r="DC603" s="493"/>
      <c r="DD603" s="493"/>
      <c r="DE603" s="493"/>
      <c r="DF603" s="493"/>
      <c r="DG603" s="493"/>
      <c r="DH603" s="493"/>
      <c r="DI603" s="493"/>
      <c r="DJ603" s="493"/>
      <c r="DK603" s="493"/>
      <c r="DL603" s="493"/>
      <c r="DM603" s="493"/>
      <c r="DN603" s="493"/>
      <c r="DO603" s="493"/>
      <c r="DP603" s="493"/>
      <c r="DQ603" s="493"/>
      <c r="DR603" s="493"/>
      <c r="DS603" s="493"/>
      <c r="DT603" s="493"/>
      <c r="DU603" s="493"/>
      <c r="DV603" s="493"/>
      <c r="DW603" s="493"/>
      <c r="DX603" s="493"/>
      <c r="DY603" s="493"/>
      <c r="DZ603" s="493"/>
    </row>
    <row r="604" spans="1:130" hidden="1" outlineLevel="2">
      <c r="A604" s="438"/>
      <c r="B604" s="490" t="s">
        <v>237</v>
      </c>
      <c r="C604" s="398" t="s">
        <v>408</v>
      </c>
      <c r="D604" s="399" t="s">
        <v>391</v>
      </c>
      <c r="E604" s="490"/>
      <c r="F604" s="385"/>
      <c r="G604" s="385"/>
      <c r="H604" s="385" t="s">
        <v>499</v>
      </c>
      <c r="I604" s="385" t="s">
        <v>156</v>
      </c>
      <c r="J604" s="489" t="s">
        <v>366</v>
      </c>
      <c r="K604" s="412"/>
      <c r="L604" s="412"/>
      <c r="M604" s="490" t="s">
        <v>37</v>
      </c>
      <c r="N604" s="490">
        <v>2</v>
      </c>
    </row>
    <row r="605" spans="1:130" hidden="1" outlineLevel="2">
      <c r="A605" s="438"/>
      <c r="B605" s="490" t="s">
        <v>237</v>
      </c>
      <c r="C605" s="398" t="s">
        <v>408</v>
      </c>
      <c r="D605" s="399" t="s">
        <v>391</v>
      </c>
      <c r="E605" s="490"/>
      <c r="F605" s="385"/>
      <c r="G605" s="385"/>
      <c r="H605" s="385" t="s">
        <v>500</v>
      </c>
      <c r="I605" s="385" t="s">
        <v>473</v>
      </c>
      <c r="J605" s="489" t="s">
        <v>366</v>
      </c>
      <c r="K605" s="412"/>
      <c r="L605" s="412"/>
      <c r="M605" s="490" t="s">
        <v>37</v>
      </c>
      <c r="N605" s="490">
        <v>1</v>
      </c>
    </row>
    <row r="606" spans="1:130" hidden="1" outlineLevel="2">
      <c r="A606" s="450"/>
      <c r="B606" s="490" t="s">
        <v>237</v>
      </c>
      <c r="C606" s="398" t="s">
        <v>408</v>
      </c>
      <c r="D606" s="399" t="s">
        <v>391</v>
      </c>
      <c r="E606" s="490"/>
      <c r="F606" s="385"/>
      <c r="G606" s="385"/>
      <c r="H606" s="385" t="s">
        <v>501</v>
      </c>
      <c r="I606" s="385" t="s">
        <v>474</v>
      </c>
      <c r="J606" s="489" t="s">
        <v>366</v>
      </c>
      <c r="K606" s="412"/>
      <c r="L606" s="412"/>
      <c r="M606" s="490" t="s">
        <v>37</v>
      </c>
      <c r="N606" s="490">
        <v>2</v>
      </c>
    </row>
    <row r="607" spans="1:130" hidden="1" outlineLevel="2">
      <c r="A607" s="438"/>
      <c r="B607" s="490" t="s">
        <v>237</v>
      </c>
      <c r="C607" s="398" t="s">
        <v>408</v>
      </c>
      <c r="D607" s="399" t="s">
        <v>391</v>
      </c>
      <c r="E607" s="490"/>
      <c r="F607" s="385"/>
      <c r="G607" s="385"/>
      <c r="H607" s="385" t="s">
        <v>502</v>
      </c>
      <c r="I607" s="385" t="s">
        <v>472</v>
      </c>
      <c r="J607" s="489" t="s">
        <v>366</v>
      </c>
      <c r="K607" s="412"/>
      <c r="L607" s="412"/>
      <c r="M607" s="490" t="s">
        <v>37</v>
      </c>
      <c r="N607" s="490">
        <v>2</v>
      </c>
    </row>
    <row r="608" spans="1:130" hidden="1" outlineLevel="2">
      <c r="A608" s="438"/>
      <c r="B608" s="490" t="s">
        <v>237</v>
      </c>
      <c r="C608" s="398" t="s">
        <v>408</v>
      </c>
      <c r="D608" s="399" t="s">
        <v>391</v>
      </c>
      <c r="E608" s="490"/>
      <c r="F608" s="385"/>
      <c r="G608" s="385"/>
      <c r="H608" s="385" t="s">
        <v>509</v>
      </c>
      <c r="I608" s="385" t="s">
        <v>463</v>
      </c>
      <c r="J608" s="489" t="s">
        <v>366</v>
      </c>
      <c r="K608" s="412"/>
      <c r="L608" s="412"/>
      <c r="M608" s="490" t="s">
        <v>37</v>
      </c>
      <c r="N608" s="490">
        <v>6</v>
      </c>
    </row>
    <row r="609" spans="1:130" hidden="1" outlineLevel="2">
      <c r="A609" s="438"/>
      <c r="B609" s="490" t="s">
        <v>237</v>
      </c>
      <c r="C609" s="398" t="s">
        <v>408</v>
      </c>
      <c r="D609" s="399" t="s">
        <v>391</v>
      </c>
      <c r="E609" s="490"/>
      <c r="F609" s="385"/>
      <c r="G609" s="385"/>
      <c r="H609" s="385" t="s">
        <v>510</v>
      </c>
      <c r="I609" s="385" t="s">
        <v>3372</v>
      </c>
      <c r="J609" s="489" t="s">
        <v>366</v>
      </c>
      <c r="K609" s="412"/>
      <c r="L609" s="412"/>
      <c r="M609" s="490" t="s">
        <v>37</v>
      </c>
      <c r="N609" s="490">
        <v>2</v>
      </c>
    </row>
    <row r="610" spans="1:130" hidden="1" outlineLevel="2">
      <c r="A610" s="438"/>
      <c r="B610" s="490" t="s">
        <v>237</v>
      </c>
      <c r="C610" s="398" t="s">
        <v>408</v>
      </c>
      <c r="D610" s="399" t="s">
        <v>391</v>
      </c>
      <c r="E610" s="490"/>
      <c r="F610" s="385"/>
      <c r="G610" s="385"/>
      <c r="H610" s="385" t="s">
        <v>511</v>
      </c>
      <c r="I610" s="385" t="s">
        <v>535</v>
      </c>
      <c r="J610" s="489" t="s">
        <v>366</v>
      </c>
      <c r="K610" s="412"/>
      <c r="L610" s="412"/>
      <c r="M610" s="490" t="s">
        <v>37</v>
      </c>
      <c r="N610" s="490">
        <v>2</v>
      </c>
    </row>
    <row r="611" spans="1:130" s="405" customFormat="1" ht="40.5" outlineLevel="1" collapsed="1">
      <c r="A611" s="489" t="s">
        <v>1346</v>
      </c>
      <c r="B611" s="490" t="s">
        <v>237</v>
      </c>
      <c r="C611" s="398" t="s">
        <v>559</v>
      </c>
      <c r="D611" s="399" t="s">
        <v>391</v>
      </c>
      <c r="E611" s="490" t="s">
        <v>737</v>
      </c>
      <c r="F611" s="385" t="s">
        <v>810</v>
      </c>
      <c r="G611" s="385"/>
      <c r="H611" s="401" t="s">
        <v>736</v>
      </c>
      <c r="I611" s="385" t="str">
        <f>CONCATENATE(I612," ","(",H612,")","-",N612," ",M612)</f>
        <v>Ремонт трансформаторов 110 кВ (1Т типа ТДТН-110/35/6 кВ 25000кВА)-1 шт.</v>
      </c>
      <c r="J611" s="489" t="s">
        <v>366</v>
      </c>
      <c r="K611" s="450">
        <v>44409</v>
      </c>
      <c r="L611" s="450">
        <v>44439</v>
      </c>
      <c r="M611" s="490"/>
      <c r="N611" s="490"/>
      <c r="O611" s="493"/>
      <c r="P611" s="493"/>
      <c r="Q611" s="493"/>
      <c r="R611" s="493"/>
      <c r="S611" s="493"/>
      <c r="T611" s="493"/>
      <c r="U611" s="493"/>
      <c r="V611" s="493"/>
      <c r="W611" s="493"/>
      <c r="X611" s="493"/>
      <c r="Y611" s="493"/>
      <c r="Z611" s="493"/>
      <c r="AA611" s="493"/>
      <c r="AB611" s="493"/>
      <c r="AC611" s="493"/>
      <c r="AD611" s="493"/>
      <c r="AE611" s="493"/>
      <c r="AF611" s="493"/>
      <c r="AG611" s="493"/>
      <c r="AH611" s="493"/>
      <c r="AI611" s="493"/>
      <c r="AJ611" s="493"/>
      <c r="AK611" s="493"/>
      <c r="AL611" s="493"/>
      <c r="AM611" s="493"/>
      <c r="AN611" s="493"/>
      <c r="AO611" s="493"/>
      <c r="AP611" s="493"/>
      <c r="AQ611" s="493"/>
      <c r="AR611" s="493"/>
      <c r="AS611" s="493"/>
      <c r="AT611" s="493"/>
      <c r="AU611" s="493"/>
      <c r="AV611" s="493"/>
      <c r="AW611" s="493"/>
      <c r="AX611" s="493"/>
      <c r="AY611" s="493"/>
      <c r="AZ611" s="493"/>
      <c r="BA611" s="493"/>
      <c r="BB611" s="493"/>
      <c r="BC611" s="493"/>
      <c r="BD611" s="493"/>
      <c r="BE611" s="493"/>
      <c r="BF611" s="493"/>
      <c r="BG611" s="493"/>
      <c r="BH611" s="493"/>
      <c r="BI611" s="493"/>
      <c r="BJ611" s="493"/>
      <c r="BK611" s="493"/>
      <c r="BL611" s="493"/>
      <c r="BM611" s="493"/>
      <c r="BN611" s="493"/>
      <c r="BO611" s="493"/>
      <c r="BP611" s="493"/>
      <c r="BQ611" s="493"/>
      <c r="BR611" s="493"/>
      <c r="BS611" s="493"/>
      <c r="BT611" s="493"/>
      <c r="BU611" s="493"/>
      <c r="BV611" s="493"/>
      <c r="BW611" s="493"/>
      <c r="BX611" s="493"/>
      <c r="BY611" s="493"/>
      <c r="BZ611" s="493"/>
      <c r="CA611" s="493"/>
      <c r="CB611" s="493"/>
      <c r="CC611" s="493"/>
      <c r="CD611" s="493"/>
      <c r="CE611" s="493"/>
      <c r="CF611" s="493"/>
      <c r="CG611" s="493"/>
      <c r="CH611" s="493"/>
      <c r="CI611" s="493"/>
      <c r="CJ611" s="493"/>
      <c r="CK611" s="493"/>
      <c r="CL611" s="493"/>
      <c r="CM611" s="493"/>
      <c r="CN611" s="493"/>
      <c r="CO611" s="493"/>
      <c r="CP611" s="493"/>
      <c r="CQ611" s="493"/>
      <c r="CR611" s="493"/>
      <c r="CS611" s="493"/>
      <c r="CT611" s="493"/>
      <c r="CU611" s="493"/>
      <c r="CV611" s="493"/>
      <c r="CW611" s="493"/>
      <c r="CX611" s="493"/>
      <c r="CY611" s="493"/>
      <c r="CZ611" s="493"/>
      <c r="DA611" s="493"/>
      <c r="DB611" s="493"/>
      <c r="DC611" s="493"/>
      <c r="DD611" s="493"/>
      <c r="DE611" s="493"/>
      <c r="DF611" s="493"/>
      <c r="DG611" s="493"/>
      <c r="DH611" s="493"/>
      <c r="DI611" s="493"/>
      <c r="DJ611" s="493"/>
      <c r="DK611" s="493"/>
      <c r="DL611" s="493"/>
      <c r="DM611" s="493"/>
      <c r="DN611" s="493"/>
      <c r="DO611" s="493"/>
      <c r="DP611" s="493"/>
      <c r="DQ611" s="493"/>
      <c r="DR611" s="493"/>
      <c r="DS611" s="493"/>
      <c r="DT611" s="493"/>
      <c r="DU611" s="493"/>
      <c r="DV611" s="493"/>
      <c r="DW611" s="493"/>
      <c r="DX611" s="493"/>
      <c r="DY611" s="493"/>
      <c r="DZ611" s="493"/>
    </row>
    <row r="612" spans="1:130" hidden="1" outlineLevel="2">
      <c r="A612" s="438"/>
      <c r="B612" s="490" t="s">
        <v>237</v>
      </c>
      <c r="C612" s="398" t="s">
        <v>559</v>
      </c>
      <c r="D612" s="399" t="s">
        <v>391</v>
      </c>
      <c r="E612" s="490"/>
      <c r="F612" s="385"/>
      <c r="G612" s="385"/>
      <c r="H612" s="385" t="s">
        <v>738</v>
      </c>
      <c r="I612" s="385" t="s">
        <v>156</v>
      </c>
      <c r="J612" s="489" t="s">
        <v>366</v>
      </c>
      <c r="K612" s="412"/>
      <c r="L612" s="412"/>
      <c r="M612" s="490" t="s">
        <v>37</v>
      </c>
      <c r="N612" s="490">
        <v>1</v>
      </c>
    </row>
    <row r="613" spans="1:130" s="405" customFormat="1" ht="81" outlineLevel="1" collapsed="1">
      <c r="A613" s="489" t="s">
        <v>1347</v>
      </c>
      <c r="B613" s="490" t="s">
        <v>237</v>
      </c>
      <c r="C613" s="398" t="s">
        <v>559</v>
      </c>
      <c r="D613" s="399" t="s">
        <v>391</v>
      </c>
      <c r="E613" s="490" t="s">
        <v>745</v>
      </c>
      <c r="F613" s="385" t="s">
        <v>810</v>
      </c>
      <c r="G613" s="385"/>
      <c r="H613" s="401" t="s">
        <v>708</v>
      </c>
      <c r="I613" s="385" t="str">
        <f>CONCATENATE(I614," ","(",H614,")","-",N614," ",M614," ",I615," ","(",H615,")","-",N615," ",M615," ",I616," ","(",H616,")","-",N616," ",M616)</f>
        <v>Ремонт трансформаторов напряжения 110 кВ (1,2ТН типа НКФ-110)-6 шт. Ремонт трансформаторов СН  (1,2ТСН типа ТМ-250/6 кВ)-2 шт. Ремонт выключателя 6-10 кВ (В 6 яч.29)-1 шт.</v>
      </c>
      <c r="J613" s="489" t="s">
        <v>366</v>
      </c>
      <c r="K613" s="450">
        <v>44228</v>
      </c>
      <c r="L613" s="450">
        <v>44500</v>
      </c>
      <c r="M613" s="490"/>
      <c r="N613" s="490"/>
      <c r="O613" s="493"/>
      <c r="P613" s="493"/>
      <c r="Q613" s="493"/>
      <c r="R613" s="493"/>
      <c r="S613" s="493"/>
      <c r="T613" s="493"/>
      <c r="U613" s="493"/>
      <c r="V613" s="493"/>
      <c r="W613" s="493"/>
      <c r="X613" s="493"/>
      <c r="Y613" s="493"/>
      <c r="Z613" s="493"/>
      <c r="AA613" s="493"/>
      <c r="AB613" s="493"/>
      <c r="AC613" s="493"/>
      <c r="AD613" s="493"/>
      <c r="AE613" s="493"/>
      <c r="AF613" s="493"/>
      <c r="AG613" s="493"/>
      <c r="AH613" s="493"/>
      <c r="AI613" s="493"/>
      <c r="AJ613" s="493"/>
      <c r="AK613" s="493"/>
      <c r="AL613" s="493"/>
      <c r="AM613" s="493"/>
      <c r="AN613" s="493"/>
      <c r="AO613" s="493"/>
      <c r="AP613" s="493"/>
      <c r="AQ613" s="493"/>
      <c r="AR613" s="493"/>
      <c r="AS613" s="493"/>
      <c r="AT613" s="493"/>
      <c r="AU613" s="493"/>
      <c r="AV613" s="493"/>
      <c r="AW613" s="493"/>
      <c r="AX613" s="493"/>
      <c r="AY613" s="493"/>
      <c r="AZ613" s="493"/>
      <c r="BA613" s="493"/>
      <c r="BB613" s="493"/>
      <c r="BC613" s="493"/>
      <c r="BD613" s="493"/>
      <c r="BE613" s="493"/>
      <c r="BF613" s="493"/>
      <c r="BG613" s="493"/>
      <c r="BH613" s="493"/>
      <c r="BI613" s="493"/>
      <c r="BJ613" s="493"/>
      <c r="BK613" s="493"/>
      <c r="BL613" s="493"/>
      <c r="BM613" s="493"/>
      <c r="BN613" s="493"/>
      <c r="BO613" s="493"/>
      <c r="BP613" s="493"/>
      <c r="BQ613" s="493"/>
      <c r="BR613" s="493"/>
      <c r="BS613" s="493"/>
      <c r="BT613" s="493"/>
      <c r="BU613" s="493"/>
      <c r="BV613" s="493"/>
      <c r="BW613" s="493"/>
      <c r="BX613" s="493"/>
      <c r="BY613" s="493"/>
      <c r="BZ613" s="493"/>
      <c r="CA613" s="493"/>
      <c r="CB613" s="493"/>
      <c r="CC613" s="493"/>
      <c r="CD613" s="493"/>
      <c r="CE613" s="493"/>
      <c r="CF613" s="493"/>
      <c r="CG613" s="493"/>
      <c r="CH613" s="493"/>
      <c r="CI613" s="493"/>
      <c r="CJ613" s="493"/>
      <c r="CK613" s="493"/>
      <c r="CL613" s="493"/>
      <c r="CM613" s="493"/>
      <c r="CN613" s="493"/>
      <c r="CO613" s="493"/>
      <c r="CP613" s="493"/>
      <c r="CQ613" s="493"/>
      <c r="CR613" s="493"/>
      <c r="CS613" s="493"/>
      <c r="CT613" s="493"/>
      <c r="CU613" s="493"/>
      <c r="CV613" s="493"/>
      <c r="CW613" s="493"/>
      <c r="CX613" s="493"/>
      <c r="CY613" s="493"/>
      <c r="CZ613" s="493"/>
      <c r="DA613" s="493"/>
      <c r="DB613" s="493"/>
      <c r="DC613" s="493"/>
      <c r="DD613" s="493"/>
      <c r="DE613" s="493"/>
      <c r="DF613" s="493"/>
      <c r="DG613" s="493"/>
      <c r="DH613" s="493"/>
      <c r="DI613" s="493"/>
      <c r="DJ613" s="493"/>
      <c r="DK613" s="493"/>
      <c r="DL613" s="493"/>
      <c r="DM613" s="493"/>
      <c r="DN613" s="493"/>
      <c r="DO613" s="493"/>
      <c r="DP613" s="493"/>
      <c r="DQ613" s="493"/>
      <c r="DR613" s="493"/>
      <c r="DS613" s="493"/>
      <c r="DT613" s="493"/>
      <c r="DU613" s="493"/>
      <c r="DV613" s="493"/>
      <c r="DW613" s="493"/>
      <c r="DX613" s="493"/>
      <c r="DY613" s="493"/>
      <c r="DZ613" s="493"/>
    </row>
    <row r="614" spans="1:130" hidden="1" outlineLevel="2">
      <c r="A614" s="438"/>
      <c r="B614" s="490" t="s">
        <v>237</v>
      </c>
      <c r="C614" s="398" t="s">
        <v>559</v>
      </c>
      <c r="D614" s="399" t="s">
        <v>391</v>
      </c>
      <c r="E614" s="490"/>
      <c r="F614" s="385"/>
      <c r="G614" s="385"/>
      <c r="H614" s="385" t="s">
        <v>748</v>
      </c>
      <c r="I614" s="385" t="s">
        <v>217</v>
      </c>
      <c r="J614" s="489" t="s">
        <v>366</v>
      </c>
      <c r="K614" s="412"/>
      <c r="L614" s="412"/>
      <c r="M614" s="490" t="s">
        <v>37</v>
      </c>
      <c r="N614" s="490">
        <v>6</v>
      </c>
    </row>
    <row r="615" spans="1:130" hidden="1" outlineLevel="2">
      <c r="A615" s="438"/>
      <c r="B615" s="490" t="s">
        <v>237</v>
      </c>
      <c r="C615" s="398" t="s">
        <v>559</v>
      </c>
      <c r="D615" s="399" t="s">
        <v>391</v>
      </c>
      <c r="E615" s="490"/>
      <c r="F615" s="385"/>
      <c r="G615" s="385"/>
      <c r="H615" s="385" t="s">
        <v>747</v>
      </c>
      <c r="I615" s="385" t="s">
        <v>3373</v>
      </c>
      <c r="J615" s="489" t="s">
        <v>366</v>
      </c>
      <c r="K615" s="412"/>
      <c r="L615" s="412"/>
      <c r="M615" s="490" t="s">
        <v>37</v>
      </c>
      <c r="N615" s="490">
        <v>2</v>
      </c>
    </row>
    <row r="616" spans="1:130" hidden="1" outlineLevel="2">
      <c r="A616" s="450"/>
      <c r="B616" s="490" t="s">
        <v>237</v>
      </c>
      <c r="C616" s="398" t="s">
        <v>559</v>
      </c>
      <c r="D616" s="399" t="s">
        <v>391</v>
      </c>
      <c r="E616" s="490"/>
      <c r="F616" s="385"/>
      <c r="G616" s="385"/>
      <c r="H616" s="385" t="s">
        <v>749</v>
      </c>
      <c r="I616" s="385" t="s">
        <v>644</v>
      </c>
      <c r="J616" s="489" t="s">
        <v>366</v>
      </c>
      <c r="K616" s="412"/>
      <c r="L616" s="412"/>
      <c r="M616" s="490" t="s">
        <v>37</v>
      </c>
      <c r="N616" s="490">
        <v>1</v>
      </c>
    </row>
    <row r="617" spans="1:130" s="405" customFormat="1" ht="60.75" outlineLevel="1" collapsed="1">
      <c r="A617" s="489" t="s">
        <v>1348</v>
      </c>
      <c r="B617" s="490" t="s">
        <v>237</v>
      </c>
      <c r="C617" s="398" t="s">
        <v>559</v>
      </c>
      <c r="D617" s="399" t="s">
        <v>391</v>
      </c>
      <c r="E617" s="490" t="s">
        <v>751</v>
      </c>
      <c r="F617" s="385" t="s">
        <v>810</v>
      </c>
      <c r="G617" s="385"/>
      <c r="H617" s="401" t="s">
        <v>750</v>
      </c>
      <c r="I617" s="385" t="str">
        <f>CONCATENATE(I618," ","(",H618,")","-",N618," ",M618," ",I619," ","(",H619,")","-",N619," ",M619)</f>
        <v>Ремонт трансформаторов 110 кВ (1Т,2Т)-2 шт. Ремонт выключателя 110 кВ (МКП-110     В 110 С-3,   С-4,   СВ 110)-3 шт.</v>
      </c>
      <c r="J617" s="489" t="s">
        <v>366</v>
      </c>
      <c r="K617" s="450">
        <v>44317</v>
      </c>
      <c r="L617" s="450">
        <v>44347</v>
      </c>
      <c r="M617" s="490"/>
      <c r="N617" s="490"/>
      <c r="O617" s="493"/>
      <c r="P617" s="493"/>
      <c r="Q617" s="493"/>
      <c r="R617" s="493"/>
      <c r="S617" s="493"/>
      <c r="T617" s="493"/>
      <c r="U617" s="493"/>
      <c r="V617" s="493"/>
      <c r="W617" s="493"/>
      <c r="X617" s="493"/>
      <c r="Y617" s="493"/>
      <c r="Z617" s="493"/>
      <c r="AA617" s="493"/>
      <c r="AB617" s="493"/>
      <c r="AC617" s="493"/>
      <c r="AD617" s="493"/>
      <c r="AE617" s="493"/>
      <c r="AF617" s="493"/>
      <c r="AG617" s="493"/>
      <c r="AH617" s="493"/>
      <c r="AI617" s="493"/>
      <c r="AJ617" s="493"/>
      <c r="AK617" s="493"/>
      <c r="AL617" s="493"/>
      <c r="AM617" s="493"/>
      <c r="AN617" s="493"/>
      <c r="AO617" s="493"/>
      <c r="AP617" s="493"/>
      <c r="AQ617" s="493"/>
      <c r="AR617" s="493"/>
      <c r="AS617" s="493"/>
      <c r="AT617" s="493"/>
      <c r="AU617" s="493"/>
      <c r="AV617" s="493"/>
      <c r="AW617" s="493"/>
      <c r="AX617" s="493"/>
      <c r="AY617" s="493"/>
      <c r="AZ617" s="493"/>
      <c r="BA617" s="493"/>
      <c r="BB617" s="493"/>
      <c r="BC617" s="493"/>
      <c r="BD617" s="493"/>
      <c r="BE617" s="493"/>
      <c r="BF617" s="493"/>
      <c r="BG617" s="493"/>
      <c r="BH617" s="493"/>
      <c r="BI617" s="493"/>
      <c r="BJ617" s="493"/>
      <c r="BK617" s="493"/>
      <c r="BL617" s="493"/>
      <c r="BM617" s="493"/>
      <c r="BN617" s="493"/>
      <c r="BO617" s="493"/>
      <c r="BP617" s="493"/>
      <c r="BQ617" s="493"/>
      <c r="BR617" s="493"/>
      <c r="BS617" s="493"/>
      <c r="BT617" s="493"/>
      <c r="BU617" s="493"/>
      <c r="BV617" s="493"/>
      <c r="BW617" s="493"/>
      <c r="BX617" s="493"/>
      <c r="BY617" s="493"/>
      <c r="BZ617" s="493"/>
      <c r="CA617" s="493"/>
      <c r="CB617" s="493"/>
      <c r="CC617" s="493"/>
      <c r="CD617" s="493"/>
      <c r="CE617" s="493"/>
      <c r="CF617" s="493"/>
      <c r="CG617" s="493"/>
      <c r="CH617" s="493"/>
      <c r="CI617" s="493"/>
      <c r="CJ617" s="493"/>
      <c r="CK617" s="493"/>
      <c r="CL617" s="493"/>
      <c r="CM617" s="493"/>
      <c r="CN617" s="493"/>
      <c r="CO617" s="493"/>
      <c r="CP617" s="493"/>
      <c r="CQ617" s="493"/>
      <c r="CR617" s="493"/>
      <c r="CS617" s="493"/>
      <c r="CT617" s="493"/>
      <c r="CU617" s="493"/>
      <c r="CV617" s="493"/>
      <c r="CW617" s="493"/>
      <c r="CX617" s="493"/>
      <c r="CY617" s="493"/>
      <c r="CZ617" s="493"/>
      <c r="DA617" s="493"/>
      <c r="DB617" s="493"/>
      <c r="DC617" s="493"/>
      <c r="DD617" s="493"/>
      <c r="DE617" s="493"/>
      <c r="DF617" s="493"/>
      <c r="DG617" s="493"/>
      <c r="DH617" s="493"/>
      <c r="DI617" s="493"/>
      <c r="DJ617" s="493"/>
      <c r="DK617" s="493"/>
      <c r="DL617" s="493"/>
      <c r="DM617" s="493"/>
      <c r="DN617" s="493"/>
      <c r="DO617" s="493"/>
      <c r="DP617" s="493"/>
      <c r="DQ617" s="493"/>
      <c r="DR617" s="493"/>
      <c r="DS617" s="493"/>
      <c r="DT617" s="493"/>
      <c r="DU617" s="493"/>
      <c r="DV617" s="493"/>
      <c r="DW617" s="493"/>
      <c r="DX617" s="493"/>
      <c r="DY617" s="493"/>
      <c r="DZ617" s="493"/>
    </row>
    <row r="618" spans="1:130" hidden="1" outlineLevel="2">
      <c r="A618" s="438"/>
      <c r="B618" s="490" t="s">
        <v>237</v>
      </c>
      <c r="C618" s="398" t="s">
        <v>559</v>
      </c>
      <c r="D618" s="399" t="s">
        <v>391</v>
      </c>
      <c r="E618" s="490"/>
      <c r="F618" s="385"/>
      <c r="G618" s="385"/>
      <c r="H618" s="385" t="s">
        <v>752</v>
      </c>
      <c r="I618" s="385" t="s">
        <v>156</v>
      </c>
      <c r="J618" s="489" t="s">
        <v>366</v>
      </c>
      <c r="K618" s="412"/>
      <c r="L618" s="412"/>
      <c r="M618" s="490" t="s">
        <v>37</v>
      </c>
      <c r="N618" s="490">
        <v>2</v>
      </c>
    </row>
    <row r="619" spans="1:130" hidden="1" outlineLevel="2">
      <c r="A619" s="450"/>
      <c r="B619" s="490" t="s">
        <v>237</v>
      </c>
      <c r="C619" s="398" t="s">
        <v>559</v>
      </c>
      <c r="D619" s="399" t="s">
        <v>391</v>
      </c>
      <c r="E619" s="490"/>
      <c r="F619" s="385"/>
      <c r="G619" s="385"/>
      <c r="H619" s="385" t="s">
        <v>753</v>
      </c>
      <c r="I619" s="385" t="s">
        <v>684</v>
      </c>
      <c r="J619" s="489" t="s">
        <v>366</v>
      </c>
      <c r="K619" s="412"/>
      <c r="L619" s="412"/>
      <c r="M619" s="490" t="s">
        <v>37</v>
      </c>
      <c r="N619" s="490">
        <v>3</v>
      </c>
    </row>
    <row r="620" spans="1:130" s="405" customFormat="1" ht="60.75" outlineLevel="1" collapsed="1">
      <c r="A620" s="489" t="s">
        <v>1349</v>
      </c>
      <c r="B620" s="490" t="s">
        <v>237</v>
      </c>
      <c r="C620" s="398" t="s">
        <v>559</v>
      </c>
      <c r="D620" s="399" t="s">
        <v>391</v>
      </c>
      <c r="E620" s="490" t="s">
        <v>757</v>
      </c>
      <c r="F620" s="385" t="s">
        <v>810</v>
      </c>
      <c r="G620" s="385"/>
      <c r="H620" s="401" t="s">
        <v>758</v>
      </c>
      <c r="I620" s="385" t="str">
        <f>CONCATENATE(I621," ","(",H621,")","-",N621," ",M621," ",I622," ","(",H622,")","-",N622," ",M622)</f>
        <v>Ремонт трансформаторов напряжения 110 кВ (ТН 110 1с,2с)-2 шт. Ремонт трансформаторов СН  (1,   2ТСН 6 )-2 шт.</v>
      </c>
      <c r="J620" s="489" t="s">
        <v>366</v>
      </c>
      <c r="K620" s="450">
        <v>44287</v>
      </c>
      <c r="L620" s="450">
        <v>44316</v>
      </c>
      <c r="M620" s="490"/>
      <c r="N620" s="490"/>
      <c r="O620" s="493"/>
      <c r="P620" s="493"/>
      <c r="Q620" s="493"/>
      <c r="R620" s="493"/>
      <c r="S620" s="493"/>
      <c r="T620" s="493"/>
      <c r="U620" s="493"/>
      <c r="V620" s="493"/>
      <c r="W620" s="493"/>
      <c r="X620" s="493"/>
      <c r="Y620" s="493"/>
      <c r="Z620" s="493"/>
      <c r="AA620" s="493"/>
      <c r="AB620" s="493"/>
      <c r="AC620" s="493"/>
      <c r="AD620" s="493"/>
      <c r="AE620" s="493"/>
      <c r="AF620" s="493"/>
      <c r="AG620" s="493"/>
      <c r="AH620" s="493"/>
      <c r="AI620" s="493"/>
      <c r="AJ620" s="493"/>
      <c r="AK620" s="493"/>
      <c r="AL620" s="493"/>
      <c r="AM620" s="493"/>
      <c r="AN620" s="493"/>
      <c r="AO620" s="493"/>
      <c r="AP620" s="493"/>
      <c r="AQ620" s="493"/>
      <c r="AR620" s="493"/>
      <c r="AS620" s="493"/>
      <c r="AT620" s="493"/>
      <c r="AU620" s="493"/>
      <c r="AV620" s="493"/>
      <c r="AW620" s="493"/>
      <c r="AX620" s="493"/>
      <c r="AY620" s="493"/>
      <c r="AZ620" s="493"/>
      <c r="BA620" s="493"/>
      <c r="BB620" s="493"/>
      <c r="BC620" s="493"/>
      <c r="BD620" s="493"/>
      <c r="BE620" s="493"/>
      <c r="BF620" s="493"/>
      <c r="BG620" s="493"/>
      <c r="BH620" s="493"/>
      <c r="BI620" s="493"/>
      <c r="BJ620" s="493"/>
      <c r="BK620" s="493"/>
      <c r="BL620" s="493"/>
      <c r="BM620" s="493"/>
      <c r="BN620" s="493"/>
      <c r="BO620" s="493"/>
      <c r="BP620" s="493"/>
      <c r="BQ620" s="493"/>
      <c r="BR620" s="493"/>
      <c r="BS620" s="493"/>
      <c r="BT620" s="493"/>
      <c r="BU620" s="493"/>
      <c r="BV620" s="493"/>
      <c r="BW620" s="493"/>
      <c r="BX620" s="493"/>
      <c r="BY620" s="493"/>
      <c r="BZ620" s="493"/>
      <c r="CA620" s="493"/>
      <c r="CB620" s="493"/>
      <c r="CC620" s="493"/>
      <c r="CD620" s="493"/>
      <c r="CE620" s="493"/>
      <c r="CF620" s="493"/>
      <c r="CG620" s="493"/>
      <c r="CH620" s="493"/>
      <c r="CI620" s="493"/>
      <c r="CJ620" s="493"/>
      <c r="CK620" s="493"/>
      <c r="CL620" s="493"/>
      <c r="CM620" s="493"/>
      <c r="CN620" s="493"/>
      <c r="CO620" s="493"/>
      <c r="CP620" s="493"/>
      <c r="CQ620" s="493"/>
      <c r="CR620" s="493"/>
      <c r="CS620" s="493"/>
      <c r="CT620" s="493"/>
      <c r="CU620" s="493"/>
      <c r="CV620" s="493"/>
      <c r="CW620" s="493"/>
      <c r="CX620" s="493"/>
      <c r="CY620" s="493"/>
      <c r="CZ620" s="493"/>
      <c r="DA620" s="493"/>
      <c r="DB620" s="493"/>
      <c r="DC620" s="493"/>
      <c r="DD620" s="493"/>
      <c r="DE620" s="493"/>
      <c r="DF620" s="493"/>
      <c r="DG620" s="493"/>
      <c r="DH620" s="493"/>
      <c r="DI620" s="493"/>
      <c r="DJ620" s="493"/>
      <c r="DK620" s="493"/>
      <c r="DL620" s="493"/>
      <c r="DM620" s="493"/>
      <c r="DN620" s="493"/>
      <c r="DO620" s="493"/>
      <c r="DP620" s="493"/>
      <c r="DQ620" s="493"/>
      <c r="DR620" s="493"/>
      <c r="DS620" s="493"/>
      <c r="DT620" s="493"/>
      <c r="DU620" s="493"/>
      <c r="DV620" s="493"/>
      <c r="DW620" s="493"/>
      <c r="DX620" s="493"/>
      <c r="DY620" s="493"/>
      <c r="DZ620" s="493"/>
    </row>
    <row r="621" spans="1:130" hidden="1" outlineLevel="2">
      <c r="A621" s="438"/>
      <c r="B621" s="490" t="s">
        <v>237</v>
      </c>
      <c r="C621" s="398" t="s">
        <v>559</v>
      </c>
      <c r="D621" s="399" t="s">
        <v>391</v>
      </c>
      <c r="E621" s="490"/>
      <c r="F621" s="385"/>
      <c r="G621" s="385"/>
      <c r="H621" s="385" t="s">
        <v>759</v>
      </c>
      <c r="I621" s="385" t="s">
        <v>217</v>
      </c>
      <c r="J621" s="489" t="s">
        <v>366</v>
      </c>
      <c r="K621" s="412"/>
      <c r="L621" s="412"/>
      <c r="M621" s="490" t="s">
        <v>37</v>
      </c>
      <c r="N621" s="490">
        <v>2</v>
      </c>
    </row>
    <row r="622" spans="1:130" hidden="1" outlineLevel="2">
      <c r="A622" s="450"/>
      <c r="B622" s="490" t="s">
        <v>237</v>
      </c>
      <c r="C622" s="398" t="s">
        <v>559</v>
      </c>
      <c r="D622" s="399" t="s">
        <v>391</v>
      </c>
      <c r="E622" s="490"/>
      <c r="F622" s="385"/>
      <c r="G622" s="385"/>
      <c r="H622" s="385" t="s">
        <v>760</v>
      </c>
      <c r="I622" s="385" t="s">
        <v>3373</v>
      </c>
      <c r="J622" s="489" t="s">
        <v>366</v>
      </c>
      <c r="K622" s="412"/>
      <c r="L622" s="412"/>
      <c r="M622" s="490" t="s">
        <v>37</v>
      </c>
      <c r="N622" s="490">
        <v>2</v>
      </c>
    </row>
    <row r="623" spans="1:130" s="405" customFormat="1" ht="101.25" outlineLevel="1" collapsed="1">
      <c r="A623" s="489" t="s">
        <v>1350</v>
      </c>
      <c r="B623" s="490" t="s">
        <v>237</v>
      </c>
      <c r="C623" s="398" t="s">
        <v>559</v>
      </c>
      <c r="D623" s="399" t="s">
        <v>391</v>
      </c>
      <c r="E623" s="490" t="s">
        <v>763</v>
      </c>
      <c r="F623" s="385" t="s">
        <v>810</v>
      </c>
      <c r="G623" s="385"/>
      <c r="H623" s="401" t="s">
        <v>764</v>
      </c>
      <c r="I623" s="385" t="str">
        <f>CONCATENATE(I624," ","(",H624,")","-",N624," ",M624," ",I625," ","(",H625,")","-",N625," ",M625," ",I626," ","(",H626,")","-",N626," ",M626," ",I627," ","(",H627,")","-",N627," ",M627)</f>
        <v>Ремонт выключателей 110 кВ (МКП-110    В 110 С-23)-1 шт. Ремонт выключателя 35 кВ (В 35 1Т,2Т,СВ 35,Т-41)-4 шт. Ремонт выключателей 6-10  кВ (В 6 яч.13,15)-2 шт. Ремонт трансформаторов СН  (1ТСН-10,2ТСН-10)-2 шт.</v>
      </c>
      <c r="J623" s="489" t="s">
        <v>366</v>
      </c>
      <c r="K623" s="450">
        <v>44378</v>
      </c>
      <c r="L623" s="450">
        <v>44408</v>
      </c>
      <c r="M623" s="490"/>
      <c r="N623" s="490"/>
      <c r="O623" s="493"/>
      <c r="P623" s="493"/>
      <c r="Q623" s="493"/>
      <c r="R623" s="493"/>
      <c r="S623" s="493"/>
      <c r="T623" s="493"/>
      <c r="U623" s="493"/>
      <c r="V623" s="493"/>
      <c r="W623" s="493"/>
      <c r="X623" s="493"/>
      <c r="Y623" s="493"/>
      <c r="Z623" s="493"/>
      <c r="AA623" s="493"/>
      <c r="AB623" s="493"/>
      <c r="AC623" s="493"/>
      <c r="AD623" s="493"/>
      <c r="AE623" s="493"/>
      <c r="AF623" s="493"/>
      <c r="AG623" s="493"/>
      <c r="AH623" s="493"/>
      <c r="AI623" s="493"/>
      <c r="AJ623" s="493"/>
      <c r="AK623" s="493"/>
      <c r="AL623" s="493"/>
      <c r="AM623" s="493"/>
      <c r="AN623" s="493"/>
      <c r="AO623" s="493"/>
      <c r="AP623" s="493"/>
      <c r="AQ623" s="493"/>
      <c r="AR623" s="493"/>
      <c r="AS623" s="493"/>
      <c r="AT623" s="493"/>
      <c r="AU623" s="493"/>
      <c r="AV623" s="493"/>
      <c r="AW623" s="493"/>
      <c r="AX623" s="493"/>
      <c r="AY623" s="493"/>
      <c r="AZ623" s="493"/>
      <c r="BA623" s="493"/>
      <c r="BB623" s="493"/>
      <c r="BC623" s="493"/>
      <c r="BD623" s="493"/>
      <c r="BE623" s="493"/>
      <c r="BF623" s="493"/>
      <c r="BG623" s="493"/>
      <c r="BH623" s="493"/>
      <c r="BI623" s="493"/>
      <c r="BJ623" s="493"/>
      <c r="BK623" s="493"/>
      <c r="BL623" s="493"/>
      <c r="BM623" s="493"/>
      <c r="BN623" s="493"/>
      <c r="BO623" s="493"/>
      <c r="BP623" s="493"/>
      <c r="BQ623" s="493"/>
      <c r="BR623" s="493"/>
      <c r="BS623" s="493"/>
      <c r="BT623" s="493"/>
      <c r="BU623" s="493"/>
      <c r="BV623" s="493"/>
      <c r="BW623" s="493"/>
      <c r="BX623" s="493"/>
      <c r="BY623" s="493"/>
      <c r="BZ623" s="493"/>
      <c r="CA623" s="493"/>
      <c r="CB623" s="493"/>
      <c r="CC623" s="493"/>
      <c r="CD623" s="493"/>
      <c r="CE623" s="493"/>
      <c r="CF623" s="493"/>
      <c r="CG623" s="493"/>
      <c r="CH623" s="493"/>
      <c r="CI623" s="493"/>
      <c r="CJ623" s="493"/>
      <c r="CK623" s="493"/>
      <c r="CL623" s="493"/>
      <c r="CM623" s="493"/>
      <c r="CN623" s="493"/>
      <c r="CO623" s="493"/>
      <c r="CP623" s="493"/>
      <c r="CQ623" s="493"/>
      <c r="CR623" s="493"/>
      <c r="CS623" s="493"/>
      <c r="CT623" s="493"/>
      <c r="CU623" s="493"/>
      <c r="CV623" s="493"/>
      <c r="CW623" s="493"/>
      <c r="CX623" s="493"/>
      <c r="CY623" s="493"/>
      <c r="CZ623" s="493"/>
      <c r="DA623" s="493"/>
      <c r="DB623" s="493"/>
      <c r="DC623" s="493"/>
      <c r="DD623" s="493"/>
      <c r="DE623" s="493"/>
      <c r="DF623" s="493"/>
      <c r="DG623" s="493"/>
      <c r="DH623" s="493"/>
      <c r="DI623" s="493"/>
      <c r="DJ623" s="493"/>
      <c r="DK623" s="493"/>
      <c r="DL623" s="493"/>
      <c r="DM623" s="493"/>
      <c r="DN623" s="493"/>
      <c r="DO623" s="493"/>
      <c r="DP623" s="493"/>
      <c r="DQ623" s="493"/>
      <c r="DR623" s="493"/>
      <c r="DS623" s="493"/>
      <c r="DT623" s="493"/>
      <c r="DU623" s="493"/>
      <c r="DV623" s="493"/>
      <c r="DW623" s="493"/>
      <c r="DX623" s="493"/>
      <c r="DY623" s="493"/>
      <c r="DZ623" s="493"/>
    </row>
    <row r="624" spans="1:130" hidden="1" outlineLevel="2">
      <c r="A624" s="438"/>
      <c r="B624" s="490" t="s">
        <v>237</v>
      </c>
      <c r="C624" s="398" t="s">
        <v>559</v>
      </c>
      <c r="D624" s="399" t="s">
        <v>391</v>
      </c>
      <c r="E624" s="490"/>
      <c r="F624" s="385"/>
      <c r="G624" s="385"/>
      <c r="H624" s="385" t="s">
        <v>766</v>
      </c>
      <c r="I624" s="385" t="s">
        <v>186</v>
      </c>
      <c r="J624" s="489" t="s">
        <v>366</v>
      </c>
      <c r="K624" s="412"/>
      <c r="L624" s="412"/>
      <c r="M624" s="490" t="s">
        <v>37</v>
      </c>
      <c r="N624" s="490">
        <v>1</v>
      </c>
    </row>
    <row r="625" spans="1:130" hidden="1" outlineLevel="2">
      <c r="A625" s="438"/>
      <c r="B625" s="490" t="s">
        <v>237</v>
      </c>
      <c r="C625" s="398" t="s">
        <v>559</v>
      </c>
      <c r="D625" s="399" t="s">
        <v>391</v>
      </c>
      <c r="E625" s="490"/>
      <c r="F625" s="385"/>
      <c r="G625" s="385"/>
      <c r="H625" s="385" t="s">
        <v>767</v>
      </c>
      <c r="I625" s="385" t="s">
        <v>598</v>
      </c>
      <c r="J625" s="489" t="s">
        <v>366</v>
      </c>
      <c r="K625" s="412"/>
      <c r="L625" s="412"/>
      <c r="M625" s="490" t="s">
        <v>37</v>
      </c>
      <c r="N625" s="490">
        <v>4</v>
      </c>
    </row>
    <row r="626" spans="1:130" hidden="1" outlineLevel="2">
      <c r="A626" s="450"/>
      <c r="B626" s="490" t="s">
        <v>237</v>
      </c>
      <c r="C626" s="398" t="s">
        <v>559</v>
      </c>
      <c r="D626" s="399" t="s">
        <v>391</v>
      </c>
      <c r="E626" s="490"/>
      <c r="F626" s="385"/>
      <c r="G626" s="385"/>
      <c r="H626" s="385" t="s">
        <v>769</v>
      </c>
      <c r="I626" s="385" t="s">
        <v>765</v>
      </c>
      <c r="J626" s="489" t="s">
        <v>366</v>
      </c>
      <c r="K626" s="412"/>
      <c r="L626" s="412"/>
      <c r="M626" s="490" t="s">
        <v>37</v>
      </c>
      <c r="N626" s="490">
        <v>2</v>
      </c>
    </row>
    <row r="627" spans="1:130" hidden="1" outlineLevel="2">
      <c r="A627" s="438"/>
      <c r="B627" s="490" t="s">
        <v>237</v>
      </c>
      <c r="C627" s="398" t="s">
        <v>559</v>
      </c>
      <c r="D627" s="399" t="s">
        <v>391</v>
      </c>
      <c r="E627" s="490"/>
      <c r="F627" s="385"/>
      <c r="G627" s="385"/>
      <c r="H627" s="385" t="s">
        <v>768</v>
      </c>
      <c r="I627" s="385" t="s">
        <v>3373</v>
      </c>
      <c r="J627" s="489" t="s">
        <v>366</v>
      </c>
      <c r="K627" s="412"/>
      <c r="L627" s="412"/>
      <c r="M627" s="490" t="s">
        <v>37</v>
      </c>
      <c r="N627" s="490">
        <v>2</v>
      </c>
    </row>
    <row r="628" spans="1:130" s="405" customFormat="1" ht="141.75" outlineLevel="1" collapsed="1">
      <c r="A628" s="489" t="s">
        <v>1351</v>
      </c>
      <c r="B628" s="490" t="s">
        <v>237</v>
      </c>
      <c r="C628" s="398" t="s">
        <v>559</v>
      </c>
      <c r="D628" s="399" t="s">
        <v>391</v>
      </c>
      <c r="E628" s="490" t="s">
        <v>772</v>
      </c>
      <c r="F628" s="385" t="s">
        <v>810</v>
      </c>
      <c r="G628" s="385"/>
      <c r="H628" s="401" t="s">
        <v>771</v>
      </c>
      <c r="I628" s="385" t="str">
        <f>CONCATENATE(I629," ","(",H629,")","-",N629," ",M629," ",I633,"  ","(",H633,")","-",N633," ",M633," ",I630," ","(",H630,")","-",N630," ",M630," ",I631," ","(",H631,")","-",N631," ",M631," ",I632," ","(",H632,")","-",N632," ",M632)</f>
        <v>Ремонт трансформаторов 110 кВ (1Т, 2Т)-2 шт. Ремонт выключателей 6-10  кВ  (ВМПЭ-10 с приводом ПЭ-11   в 6 яч.32,40, ВМПЭ-10 с приводом ПЭ-11   в 6 яч.16,20)-4 шт. Ремонт ОПН, разрядников 0 кВ (РВС-35+15   1Т, 2Т)-2 шт. Ремонт отделителя 110 кВ (ОД-110М  1Т, ОД-110М  2Т)-2 шт. Ремонт короткозамыкателя 110 кВ (КЗ-110  1Т, КЗ-110  2Т)-2 шт.</v>
      </c>
      <c r="J628" s="489" t="s">
        <v>366</v>
      </c>
      <c r="K628" s="450">
        <v>44228</v>
      </c>
      <c r="L628" s="450">
        <v>44286</v>
      </c>
      <c r="M628" s="490"/>
      <c r="N628" s="490"/>
      <c r="O628" s="493"/>
      <c r="P628" s="493"/>
      <c r="Q628" s="493"/>
      <c r="R628" s="493"/>
      <c r="S628" s="493"/>
      <c r="T628" s="493"/>
      <c r="U628" s="493"/>
      <c r="V628" s="493"/>
      <c r="W628" s="493"/>
      <c r="X628" s="493"/>
      <c r="Y628" s="493"/>
      <c r="Z628" s="493"/>
      <c r="AA628" s="493"/>
      <c r="AB628" s="493"/>
      <c r="AC628" s="493"/>
      <c r="AD628" s="493"/>
      <c r="AE628" s="493"/>
      <c r="AF628" s="493"/>
      <c r="AG628" s="493"/>
      <c r="AH628" s="493"/>
      <c r="AI628" s="493"/>
      <c r="AJ628" s="493"/>
      <c r="AK628" s="493"/>
      <c r="AL628" s="493"/>
      <c r="AM628" s="493"/>
      <c r="AN628" s="493"/>
      <c r="AO628" s="493"/>
      <c r="AP628" s="493"/>
      <c r="AQ628" s="493"/>
      <c r="AR628" s="493"/>
      <c r="AS628" s="493"/>
      <c r="AT628" s="493"/>
      <c r="AU628" s="493"/>
      <c r="AV628" s="493"/>
      <c r="AW628" s="493"/>
      <c r="AX628" s="493"/>
      <c r="AY628" s="493"/>
      <c r="AZ628" s="493"/>
      <c r="BA628" s="493"/>
      <c r="BB628" s="493"/>
      <c r="BC628" s="493"/>
      <c r="BD628" s="493"/>
      <c r="BE628" s="493"/>
      <c r="BF628" s="493"/>
      <c r="BG628" s="493"/>
      <c r="BH628" s="493"/>
      <c r="BI628" s="493"/>
      <c r="BJ628" s="493"/>
      <c r="BK628" s="493"/>
      <c r="BL628" s="493"/>
      <c r="BM628" s="493"/>
      <c r="BN628" s="493"/>
      <c r="BO628" s="493"/>
      <c r="BP628" s="493"/>
      <c r="BQ628" s="493"/>
      <c r="BR628" s="493"/>
      <c r="BS628" s="493"/>
      <c r="BT628" s="493"/>
      <c r="BU628" s="493"/>
      <c r="BV628" s="493"/>
      <c r="BW628" s="493"/>
      <c r="BX628" s="493"/>
      <c r="BY628" s="493"/>
      <c r="BZ628" s="493"/>
      <c r="CA628" s="493"/>
      <c r="CB628" s="493"/>
      <c r="CC628" s="493"/>
      <c r="CD628" s="493"/>
      <c r="CE628" s="493"/>
      <c r="CF628" s="493"/>
      <c r="CG628" s="493"/>
      <c r="CH628" s="493"/>
      <c r="CI628" s="493"/>
      <c r="CJ628" s="493"/>
      <c r="CK628" s="493"/>
      <c r="CL628" s="493"/>
      <c r="CM628" s="493"/>
      <c r="CN628" s="493"/>
      <c r="CO628" s="493"/>
      <c r="CP628" s="493"/>
      <c r="CQ628" s="493"/>
      <c r="CR628" s="493"/>
      <c r="CS628" s="493"/>
      <c r="CT628" s="493"/>
      <c r="CU628" s="493"/>
      <c r="CV628" s="493"/>
      <c r="CW628" s="493"/>
      <c r="CX628" s="493"/>
      <c r="CY628" s="493"/>
      <c r="CZ628" s="493"/>
      <c r="DA628" s="493"/>
      <c r="DB628" s="493"/>
      <c r="DC628" s="493"/>
      <c r="DD628" s="493"/>
      <c r="DE628" s="493"/>
      <c r="DF628" s="493"/>
      <c r="DG628" s="493"/>
      <c r="DH628" s="493"/>
      <c r="DI628" s="493"/>
      <c r="DJ628" s="493"/>
      <c r="DK628" s="493"/>
      <c r="DL628" s="493"/>
      <c r="DM628" s="493"/>
      <c r="DN628" s="493"/>
      <c r="DO628" s="493"/>
      <c r="DP628" s="493"/>
      <c r="DQ628" s="493"/>
      <c r="DR628" s="493"/>
      <c r="DS628" s="493"/>
      <c r="DT628" s="493"/>
      <c r="DU628" s="493"/>
      <c r="DV628" s="493"/>
      <c r="DW628" s="493"/>
      <c r="DX628" s="493"/>
      <c r="DY628" s="493"/>
      <c r="DZ628" s="493"/>
    </row>
    <row r="629" spans="1:130" hidden="1" outlineLevel="2">
      <c r="A629" s="438"/>
      <c r="B629" s="490" t="s">
        <v>237</v>
      </c>
      <c r="C629" s="398" t="s">
        <v>559</v>
      </c>
      <c r="D629" s="399" t="s">
        <v>391</v>
      </c>
      <c r="E629" s="490"/>
      <c r="F629" s="385"/>
      <c r="G629" s="385"/>
      <c r="H629" s="385" t="s">
        <v>774</v>
      </c>
      <c r="I629" s="385" t="s">
        <v>156</v>
      </c>
      <c r="J629" s="489" t="s">
        <v>366</v>
      </c>
      <c r="K629" s="412"/>
      <c r="L629" s="412"/>
      <c r="M629" s="490" t="s">
        <v>37</v>
      </c>
      <c r="N629" s="490">
        <v>2</v>
      </c>
    </row>
    <row r="630" spans="1:130" hidden="1" outlineLevel="2">
      <c r="A630" s="438"/>
      <c r="B630" s="490" t="s">
        <v>237</v>
      </c>
      <c r="C630" s="398" t="s">
        <v>559</v>
      </c>
      <c r="D630" s="399" t="s">
        <v>391</v>
      </c>
      <c r="E630" s="490"/>
      <c r="F630" s="385"/>
      <c r="G630" s="385"/>
      <c r="H630" s="385" t="s">
        <v>775</v>
      </c>
      <c r="I630" s="385" t="s">
        <v>773</v>
      </c>
      <c r="J630" s="489" t="s">
        <v>366</v>
      </c>
      <c r="K630" s="412"/>
      <c r="L630" s="412"/>
      <c r="M630" s="490" t="s">
        <v>37</v>
      </c>
      <c r="N630" s="490">
        <v>2</v>
      </c>
    </row>
    <row r="631" spans="1:130" hidden="1" outlineLevel="2">
      <c r="A631" s="450"/>
      <c r="B631" s="490" t="s">
        <v>237</v>
      </c>
      <c r="C631" s="398" t="s">
        <v>559</v>
      </c>
      <c r="D631" s="399" t="s">
        <v>391</v>
      </c>
      <c r="E631" s="490"/>
      <c r="F631" s="385"/>
      <c r="G631" s="385"/>
      <c r="H631" s="385" t="s">
        <v>776</v>
      </c>
      <c r="I631" s="385" t="s">
        <v>473</v>
      </c>
      <c r="J631" s="489" t="s">
        <v>366</v>
      </c>
      <c r="K631" s="412"/>
      <c r="L631" s="412"/>
      <c r="M631" s="490" t="s">
        <v>37</v>
      </c>
      <c r="N631" s="490">
        <v>2</v>
      </c>
    </row>
    <row r="632" spans="1:130" hidden="1" outlineLevel="2">
      <c r="A632" s="438"/>
      <c r="B632" s="490" t="s">
        <v>237</v>
      </c>
      <c r="C632" s="398" t="s">
        <v>559</v>
      </c>
      <c r="D632" s="399" t="s">
        <v>391</v>
      </c>
      <c r="E632" s="490"/>
      <c r="F632" s="385"/>
      <c r="G632" s="385"/>
      <c r="H632" s="385" t="s">
        <v>777</v>
      </c>
      <c r="I632" s="385" t="s">
        <v>474</v>
      </c>
      <c r="J632" s="489" t="s">
        <v>366</v>
      </c>
      <c r="K632" s="412"/>
      <c r="L632" s="412"/>
      <c r="M632" s="490" t="s">
        <v>37</v>
      </c>
      <c r="N632" s="490">
        <v>2</v>
      </c>
    </row>
    <row r="633" spans="1:130" ht="70.5" hidden="1" customHeight="1" outlineLevel="2">
      <c r="A633" s="438"/>
      <c r="B633" s="490" t="s">
        <v>237</v>
      </c>
      <c r="C633" s="398" t="s">
        <v>559</v>
      </c>
      <c r="D633" s="399" t="s">
        <v>391</v>
      </c>
      <c r="E633" s="490"/>
      <c r="F633" s="385"/>
      <c r="G633" s="385"/>
      <c r="H633" s="385" t="s">
        <v>778</v>
      </c>
      <c r="I633" s="385" t="s">
        <v>765</v>
      </c>
      <c r="J633" s="489" t="s">
        <v>366</v>
      </c>
      <c r="K633" s="412"/>
      <c r="L633" s="412"/>
      <c r="M633" s="490" t="s">
        <v>37</v>
      </c>
      <c r="N633" s="490">
        <v>4</v>
      </c>
    </row>
    <row r="634" spans="1:130" s="405" customFormat="1" ht="81" outlineLevel="1" collapsed="1">
      <c r="A634" s="489" t="s">
        <v>1352</v>
      </c>
      <c r="B634" s="490" t="s">
        <v>237</v>
      </c>
      <c r="C634" s="398" t="s">
        <v>559</v>
      </c>
      <c r="D634" s="399" t="s">
        <v>391</v>
      </c>
      <c r="E634" s="490" t="s">
        <v>780</v>
      </c>
      <c r="F634" s="385" t="s">
        <v>810</v>
      </c>
      <c r="G634" s="385"/>
      <c r="H634" s="401" t="s">
        <v>779</v>
      </c>
      <c r="I634" s="385" t="str">
        <f>CONCATENATE(I635," ","(",H635,")","-",N635," ",M635," ",I637,"  ","(",H637,")","-",N637," ",M637," ",I636," ","(",H636,")","-",N636," ",M636)</f>
        <v>Ремонт трансформаторов 110 кВ (1Т, 2Т)-2 шт. Ремонт выключателей 35 кВ  (МКП-35    В 35 1Т,2Т,СВ 35,Т-9,Т-10)-5 шт. Ремонт выключателей 6-10  кВ (ВМГ-133 с приводом ПС-10   В 6 яч.20)-1 шт.</v>
      </c>
      <c r="J634" s="489" t="s">
        <v>366</v>
      </c>
      <c r="K634" s="450">
        <v>44440</v>
      </c>
      <c r="L634" s="450">
        <v>44500</v>
      </c>
      <c r="M634" s="490"/>
      <c r="N634" s="490"/>
      <c r="O634" s="493"/>
      <c r="P634" s="493"/>
      <c r="Q634" s="493"/>
      <c r="R634" s="493"/>
      <c r="S634" s="493"/>
      <c r="T634" s="493"/>
      <c r="U634" s="493"/>
      <c r="V634" s="493"/>
      <c r="W634" s="493"/>
      <c r="X634" s="493"/>
      <c r="Y634" s="493"/>
      <c r="Z634" s="493"/>
      <c r="AA634" s="493"/>
      <c r="AB634" s="493"/>
      <c r="AC634" s="493"/>
      <c r="AD634" s="493"/>
      <c r="AE634" s="493"/>
      <c r="AF634" s="493"/>
      <c r="AG634" s="493"/>
      <c r="AH634" s="493"/>
      <c r="AI634" s="493"/>
      <c r="AJ634" s="493"/>
      <c r="AK634" s="493"/>
      <c r="AL634" s="493"/>
      <c r="AM634" s="493"/>
      <c r="AN634" s="493"/>
      <c r="AO634" s="493"/>
      <c r="AP634" s="493"/>
      <c r="AQ634" s="493"/>
      <c r="AR634" s="493"/>
      <c r="AS634" s="493"/>
      <c r="AT634" s="493"/>
      <c r="AU634" s="493"/>
      <c r="AV634" s="493"/>
      <c r="AW634" s="493"/>
      <c r="AX634" s="493"/>
      <c r="AY634" s="493"/>
      <c r="AZ634" s="493"/>
      <c r="BA634" s="493"/>
      <c r="BB634" s="493"/>
      <c r="BC634" s="493"/>
      <c r="BD634" s="493"/>
      <c r="BE634" s="493"/>
      <c r="BF634" s="493"/>
      <c r="BG634" s="493"/>
      <c r="BH634" s="493"/>
      <c r="BI634" s="493"/>
      <c r="BJ634" s="493"/>
      <c r="BK634" s="493"/>
      <c r="BL634" s="493"/>
      <c r="BM634" s="493"/>
      <c r="BN634" s="493"/>
      <c r="BO634" s="493"/>
      <c r="BP634" s="493"/>
      <c r="BQ634" s="493"/>
      <c r="BR634" s="493"/>
      <c r="BS634" s="493"/>
      <c r="BT634" s="493"/>
      <c r="BU634" s="493"/>
      <c r="BV634" s="493"/>
      <c r="BW634" s="493"/>
      <c r="BX634" s="493"/>
      <c r="BY634" s="493"/>
      <c r="BZ634" s="493"/>
      <c r="CA634" s="493"/>
      <c r="CB634" s="493"/>
      <c r="CC634" s="493"/>
      <c r="CD634" s="493"/>
      <c r="CE634" s="493"/>
      <c r="CF634" s="493"/>
      <c r="CG634" s="493"/>
      <c r="CH634" s="493"/>
      <c r="CI634" s="493"/>
      <c r="CJ634" s="493"/>
      <c r="CK634" s="493"/>
      <c r="CL634" s="493"/>
      <c r="CM634" s="493"/>
      <c r="CN634" s="493"/>
      <c r="CO634" s="493"/>
      <c r="CP634" s="493"/>
      <c r="CQ634" s="493"/>
      <c r="CR634" s="493"/>
      <c r="CS634" s="493"/>
      <c r="CT634" s="493"/>
      <c r="CU634" s="493"/>
      <c r="CV634" s="493"/>
      <c r="CW634" s="493"/>
      <c r="CX634" s="493"/>
      <c r="CY634" s="493"/>
      <c r="CZ634" s="493"/>
      <c r="DA634" s="493"/>
      <c r="DB634" s="493"/>
      <c r="DC634" s="493"/>
      <c r="DD634" s="493"/>
      <c r="DE634" s="493"/>
      <c r="DF634" s="493"/>
      <c r="DG634" s="493"/>
      <c r="DH634" s="493"/>
      <c r="DI634" s="493"/>
      <c r="DJ634" s="493"/>
      <c r="DK634" s="493"/>
      <c r="DL634" s="493"/>
      <c r="DM634" s="493"/>
      <c r="DN634" s="493"/>
      <c r="DO634" s="493"/>
      <c r="DP634" s="493"/>
      <c r="DQ634" s="493"/>
      <c r="DR634" s="493"/>
      <c r="DS634" s="493"/>
      <c r="DT634" s="493"/>
      <c r="DU634" s="493"/>
      <c r="DV634" s="493"/>
      <c r="DW634" s="493"/>
      <c r="DX634" s="493"/>
      <c r="DY634" s="493"/>
      <c r="DZ634" s="493"/>
    </row>
    <row r="635" spans="1:130" hidden="1" outlineLevel="2">
      <c r="A635" s="438"/>
      <c r="B635" s="490" t="s">
        <v>237</v>
      </c>
      <c r="C635" s="398" t="s">
        <v>559</v>
      </c>
      <c r="D635" s="399" t="s">
        <v>391</v>
      </c>
      <c r="E635" s="490"/>
      <c r="F635" s="385"/>
      <c r="G635" s="385"/>
      <c r="H635" s="385" t="s">
        <v>774</v>
      </c>
      <c r="I635" s="385" t="s">
        <v>156</v>
      </c>
      <c r="J635" s="489" t="s">
        <v>366</v>
      </c>
      <c r="K635" s="412"/>
      <c r="L635" s="412"/>
      <c r="M635" s="490" t="s">
        <v>37</v>
      </c>
      <c r="N635" s="490">
        <v>2</v>
      </c>
    </row>
    <row r="636" spans="1:130" hidden="1" outlineLevel="2">
      <c r="A636" s="438"/>
      <c r="B636" s="490" t="s">
        <v>237</v>
      </c>
      <c r="C636" s="398" t="s">
        <v>559</v>
      </c>
      <c r="D636" s="399" t="s">
        <v>391</v>
      </c>
      <c r="E636" s="490"/>
      <c r="F636" s="385"/>
      <c r="G636" s="385"/>
      <c r="H636" s="385" t="s">
        <v>782</v>
      </c>
      <c r="I636" s="385" t="s">
        <v>765</v>
      </c>
      <c r="J636" s="489" t="s">
        <v>366</v>
      </c>
      <c r="K636" s="412"/>
      <c r="L636" s="412"/>
      <c r="M636" s="490" t="s">
        <v>37</v>
      </c>
      <c r="N636" s="490">
        <v>1</v>
      </c>
    </row>
    <row r="637" spans="1:130" hidden="1" outlineLevel="2">
      <c r="A637" s="438"/>
      <c r="B637" s="490" t="s">
        <v>237</v>
      </c>
      <c r="C637" s="398" t="s">
        <v>559</v>
      </c>
      <c r="D637" s="399" t="s">
        <v>391</v>
      </c>
      <c r="E637" s="490"/>
      <c r="F637" s="385"/>
      <c r="G637" s="385"/>
      <c r="H637" s="385" t="s">
        <v>781</v>
      </c>
      <c r="I637" s="385" t="s">
        <v>189</v>
      </c>
      <c r="J637" s="489" t="s">
        <v>366</v>
      </c>
      <c r="K637" s="412"/>
      <c r="L637" s="412"/>
      <c r="M637" s="490" t="s">
        <v>37</v>
      </c>
      <c r="N637" s="490">
        <v>5</v>
      </c>
    </row>
    <row r="638" spans="1:130" s="405" customFormat="1" ht="40.5" outlineLevel="1" collapsed="1">
      <c r="A638" s="489" t="s">
        <v>1353</v>
      </c>
      <c r="B638" s="490" t="s">
        <v>237</v>
      </c>
      <c r="C638" s="398" t="s">
        <v>559</v>
      </c>
      <c r="D638" s="399" t="s">
        <v>391</v>
      </c>
      <c r="E638" s="490" t="s">
        <v>783</v>
      </c>
      <c r="F638" s="385" t="s">
        <v>810</v>
      </c>
      <c r="G638" s="385"/>
      <c r="H638" s="401" t="s">
        <v>784</v>
      </c>
      <c r="I638" s="385" t="str">
        <f>CONCATENATE(I639," ","(",H639,")","-",N639," ",M639)</f>
        <v>Ремонт трансформаторов СН (2ТСН типа ТМ-160/6 кВ.)-1 шт.</v>
      </c>
      <c r="J638" s="489" t="s">
        <v>366</v>
      </c>
      <c r="K638" s="450">
        <v>44287</v>
      </c>
      <c r="L638" s="450">
        <v>44287</v>
      </c>
      <c r="M638" s="490"/>
      <c r="N638" s="490"/>
      <c r="O638" s="493"/>
      <c r="P638" s="493"/>
      <c r="Q638" s="493"/>
      <c r="R638" s="493"/>
      <c r="S638" s="493"/>
      <c r="T638" s="493"/>
      <c r="U638" s="493"/>
      <c r="V638" s="493"/>
      <c r="W638" s="493"/>
      <c r="X638" s="493"/>
      <c r="Y638" s="493"/>
      <c r="Z638" s="493"/>
      <c r="AA638" s="493"/>
      <c r="AB638" s="493"/>
      <c r="AC638" s="493"/>
      <c r="AD638" s="493"/>
      <c r="AE638" s="493"/>
      <c r="AF638" s="493"/>
      <c r="AG638" s="493"/>
      <c r="AH638" s="493"/>
      <c r="AI638" s="493"/>
      <c r="AJ638" s="493"/>
      <c r="AK638" s="493"/>
      <c r="AL638" s="493"/>
      <c r="AM638" s="493"/>
      <c r="AN638" s="493"/>
      <c r="AO638" s="493"/>
      <c r="AP638" s="493"/>
      <c r="AQ638" s="493"/>
      <c r="AR638" s="493"/>
      <c r="AS638" s="493"/>
      <c r="AT638" s="493"/>
      <c r="AU638" s="493"/>
      <c r="AV638" s="493"/>
      <c r="AW638" s="493"/>
      <c r="AX638" s="493"/>
      <c r="AY638" s="493"/>
      <c r="AZ638" s="493"/>
      <c r="BA638" s="493"/>
      <c r="BB638" s="493"/>
      <c r="BC638" s="493"/>
      <c r="BD638" s="493"/>
      <c r="BE638" s="493"/>
      <c r="BF638" s="493"/>
      <c r="BG638" s="493"/>
      <c r="BH638" s="493"/>
      <c r="BI638" s="493"/>
      <c r="BJ638" s="493"/>
      <c r="BK638" s="493"/>
      <c r="BL638" s="493"/>
      <c r="BM638" s="493"/>
      <c r="BN638" s="493"/>
      <c r="BO638" s="493"/>
      <c r="BP638" s="493"/>
      <c r="BQ638" s="493"/>
      <c r="BR638" s="493"/>
      <c r="BS638" s="493"/>
      <c r="BT638" s="493"/>
      <c r="BU638" s="493"/>
      <c r="BV638" s="493"/>
      <c r="BW638" s="493"/>
      <c r="BX638" s="493"/>
      <c r="BY638" s="493"/>
      <c r="BZ638" s="493"/>
      <c r="CA638" s="493"/>
      <c r="CB638" s="493"/>
      <c r="CC638" s="493"/>
      <c r="CD638" s="493"/>
      <c r="CE638" s="493"/>
      <c r="CF638" s="493"/>
      <c r="CG638" s="493"/>
      <c r="CH638" s="493"/>
      <c r="CI638" s="493"/>
      <c r="CJ638" s="493"/>
      <c r="CK638" s="493"/>
      <c r="CL638" s="493"/>
      <c r="CM638" s="493"/>
      <c r="CN638" s="493"/>
      <c r="CO638" s="493"/>
      <c r="CP638" s="493"/>
      <c r="CQ638" s="493"/>
      <c r="CR638" s="493"/>
      <c r="CS638" s="493"/>
      <c r="CT638" s="493"/>
      <c r="CU638" s="493"/>
      <c r="CV638" s="493"/>
      <c r="CW638" s="493"/>
      <c r="CX638" s="493"/>
      <c r="CY638" s="493"/>
      <c r="CZ638" s="493"/>
      <c r="DA638" s="493"/>
      <c r="DB638" s="493"/>
      <c r="DC638" s="493"/>
      <c r="DD638" s="493"/>
      <c r="DE638" s="493"/>
      <c r="DF638" s="493"/>
      <c r="DG638" s="493"/>
      <c r="DH638" s="493"/>
      <c r="DI638" s="493"/>
      <c r="DJ638" s="493"/>
      <c r="DK638" s="493"/>
      <c r="DL638" s="493"/>
      <c r="DM638" s="493"/>
      <c r="DN638" s="493"/>
      <c r="DO638" s="493"/>
      <c r="DP638" s="493"/>
      <c r="DQ638" s="493"/>
      <c r="DR638" s="493"/>
      <c r="DS638" s="493"/>
      <c r="DT638" s="493"/>
      <c r="DU638" s="493"/>
      <c r="DV638" s="493"/>
      <c r="DW638" s="493"/>
      <c r="DX638" s="493"/>
      <c r="DY638" s="493"/>
      <c r="DZ638" s="493"/>
    </row>
    <row r="639" spans="1:130" hidden="1" outlineLevel="2">
      <c r="A639" s="438"/>
      <c r="B639" s="490" t="s">
        <v>237</v>
      </c>
      <c r="C639" s="398" t="s">
        <v>559</v>
      </c>
      <c r="D639" s="399" t="s">
        <v>391</v>
      </c>
      <c r="E639" s="490"/>
      <c r="F639" s="385"/>
      <c r="G639" s="385"/>
      <c r="H639" s="385" t="s">
        <v>785</v>
      </c>
      <c r="I639" s="385" t="s">
        <v>163</v>
      </c>
      <c r="J639" s="489" t="s">
        <v>366</v>
      </c>
      <c r="K639" s="412"/>
      <c r="L639" s="412"/>
      <c r="M639" s="490" t="s">
        <v>37</v>
      </c>
      <c r="N639" s="490">
        <v>1</v>
      </c>
    </row>
    <row r="640" spans="1:130" s="405" customFormat="1" ht="40.5" outlineLevel="1" collapsed="1">
      <c r="A640" s="489" t="s">
        <v>1354</v>
      </c>
      <c r="B640" s="490" t="s">
        <v>237</v>
      </c>
      <c r="C640" s="398" t="s">
        <v>559</v>
      </c>
      <c r="D640" s="399" t="s">
        <v>391</v>
      </c>
      <c r="E640" s="490" t="s">
        <v>787</v>
      </c>
      <c r="F640" s="385" t="s">
        <v>810</v>
      </c>
      <c r="G640" s="385"/>
      <c r="H640" s="401" t="s">
        <v>710</v>
      </c>
      <c r="I640" s="385" t="str">
        <f>CONCATENATE(I641," ","(",H641,")","-",N641," ",M641," ",I642," ","(",H642,")","-",N642," ",M642)</f>
        <v>Ремонт трансформаторов 110 кВ (1Т, 2Т)-2 шт. Ремонт трансформаторов СН 6-10 кВ (1ТСН-6, 2ТСН-6)-2 шт.</v>
      </c>
      <c r="J640" s="489" t="s">
        <v>366</v>
      </c>
      <c r="K640" s="450">
        <v>44287</v>
      </c>
      <c r="L640" s="450">
        <v>44316</v>
      </c>
      <c r="M640" s="490"/>
      <c r="N640" s="490"/>
      <c r="O640" s="493"/>
      <c r="P640" s="493"/>
      <c r="Q640" s="493"/>
      <c r="R640" s="493"/>
      <c r="S640" s="493"/>
      <c r="T640" s="493"/>
      <c r="U640" s="493"/>
      <c r="V640" s="493"/>
      <c r="W640" s="493"/>
      <c r="X640" s="493"/>
      <c r="Y640" s="493"/>
      <c r="Z640" s="493"/>
      <c r="AA640" s="493"/>
      <c r="AB640" s="493"/>
      <c r="AC640" s="493"/>
      <c r="AD640" s="493"/>
      <c r="AE640" s="493"/>
      <c r="AF640" s="493"/>
      <c r="AG640" s="493"/>
      <c r="AH640" s="493"/>
      <c r="AI640" s="493"/>
      <c r="AJ640" s="493"/>
      <c r="AK640" s="493"/>
      <c r="AL640" s="493"/>
      <c r="AM640" s="493"/>
      <c r="AN640" s="493"/>
      <c r="AO640" s="493"/>
      <c r="AP640" s="493"/>
      <c r="AQ640" s="493"/>
      <c r="AR640" s="493"/>
      <c r="AS640" s="493"/>
      <c r="AT640" s="493"/>
      <c r="AU640" s="493"/>
      <c r="AV640" s="493"/>
      <c r="AW640" s="493"/>
      <c r="AX640" s="493"/>
      <c r="AY640" s="493"/>
      <c r="AZ640" s="493"/>
      <c r="BA640" s="493"/>
      <c r="BB640" s="493"/>
      <c r="BC640" s="493"/>
      <c r="BD640" s="493"/>
      <c r="BE640" s="493"/>
      <c r="BF640" s="493"/>
      <c r="BG640" s="493"/>
      <c r="BH640" s="493"/>
      <c r="BI640" s="493"/>
      <c r="BJ640" s="493"/>
      <c r="BK640" s="493"/>
      <c r="BL640" s="493"/>
      <c r="BM640" s="493"/>
      <c r="BN640" s="493"/>
      <c r="BO640" s="493"/>
      <c r="BP640" s="493"/>
      <c r="BQ640" s="493"/>
      <c r="BR640" s="493"/>
      <c r="BS640" s="493"/>
      <c r="BT640" s="493"/>
      <c r="BU640" s="493"/>
      <c r="BV640" s="493"/>
      <c r="BW640" s="493"/>
      <c r="BX640" s="493"/>
      <c r="BY640" s="493"/>
      <c r="BZ640" s="493"/>
      <c r="CA640" s="493"/>
      <c r="CB640" s="493"/>
      <c r="CC640" s="493"/>
      <c r="CD640" s="493"/>
      <c r="CE640" s="493"/>
      <c r="CF640" s="493"/>
      <c r="CG640" s="493"/>
      <c r="CH640" s="493"/>
      <c r="CI640" s="493"/>
      <c r="CJ640" s="493"/>
      <c r="CK640" s="493"/>
      <c r="CL640" s="493"/>
      <c r="CM640" s="493"/>
      <c r="CN640" s="493"/>
      <c r="CO640" s="493"/>
      <c r="CP640" s="493"/>
      <c r="CQ640" s="493"/>
      <c r="CR640" s="493"/>
      <c r="CS640" s="493"/>
      <c r="CT640" s="493"/>
      <c r="CU640" s="493"/>
      <c r="CV640" s="493"/>
      <c r="CW640" s="493"/>
      <c r="CX640" s="493"/>
      <c r="CY640" s="493"/>
      <c r="CZ640" s="493"/>
      <c r="DA640" s="493"/>
      <c r="DB640" s="493"/>
      <c r="DC640" s="493"/>
      <c r="DD640" s="493"/>
      <c r="DE640" s="493"/>
      <c r="DF640" s="493"/>
      <c r="DG640" s="493"/>
      <c r="DH640" s="493"/>
      <c r="DI640" s="493"/>
      <c r="DJ640" s="493"/>
      <c r="DK640" s="493"/>
      <c r="DL640" s="493"/>
      <c r="DM640" s="493"/>
      <c r="DN640" s="493"/>
      <c r="DO640" s="493"/>
      <c r="DP640" s="493"/>
      <c r="DQ640" s="493"/>
      <c r="DR640" s="493"/>
      <c r="DS640" s="493"/>
      <c r="DT640" s="493"/>
      <c r="DU640" s="493"/>
      <c r="DV640" s="493"/>
      <c r="DW640" s="493"/>
      <c r="DX640" s="493"/>
      <c r="DY640" s="493"/>
      <c r="DZ640" s="493"/>
    </row>
    <row r="641" spans="1:130" hidden="1" outlineLevel="2">
      <c r="A641" s="438"/>
      <c r="B641" s="490" t="s">
        <v>237</v>
      </c>
      <c r="C641" s="398" t="s">
        <v>559</v>
      </c>
      <c r="D641" s="399" t="s">
        <v>391</v>
      </c>
      <c r="E641" s="490"/>
      <c r="F641" s="385"/>
      <c r="G641" s="385"/>
      <c r="H641" s="385" t="s">
        <v>774</v>
      </c>
      <c r="I641" s="385" t="s">
        <v>156</v>
      </c>
      <c r="J641" s="489" t="s">
        <v>366</v>
      </c>
      <c r="K641" s="412"/>
      <c r="L641" s="412"/>
      <c r="M641" s="490" t="s">
        <v>37</v>
      </c>
      <c r="N641" s="490">
        <v>2</v>
      </c>
    </row>
    <row r="642" spans="1:130" hidden="1" outlineLevel="2">
      <c r="A642" s="438"/>
      <c r="B642" s="490" t="s">
        <v>237</v>
      </c>
      <c r="C642" s="398" t="s">
        <v>559</v>
      </c>
      <c r="D642" s="399" t="s">
        <v>391</v>
      </c>
      <c r="E642" s="490"/>
      <c r="F642" s="385"/>
      <c r="G642" s="385"/>
      <c r="H642" s="385" t="s">
        <v>788</v>
      </c>
      <c r="I642" s="385" t="s">
        <v>619</v>
      </c>
      <c r="J642" s="489" t="s">
        <v>366</v>
      </c>
      <c r="K642" s="412"/>
      <c r="L642" s="412"/>
      <c r="M642" s="490" t="s">
        <v>37</v>
      </c>
      <c r="N642" s="490">
        <v>2</v>
      </c>
    </row>
    <row r="643" spans="1:130" s="405" customFormat="1" ht="40.5" outlineLevel="1" collapsed="1">
      <c r="A643" s="489" t="s">
        <v>1355</v>
      </c>
      <c r="B643" s="490" t="s">
        <v>237</v>
      </c>
      <c r="C643" s="398" t="s">
        <v>559</v>
      </c>
      <c r="D643" s="399" t="s">
        <v>391</v>
      </c>
      <c r="E643" s="490" t="s">
        <v>797</v>
      </c>
      <c r="F643" s="385" t="s">
        <v>810</v>
      </c>
      <c r="G643" s="385"/>
      <c r="H643" s="401" t="s">
        <v>795</v>
      </c>
      <c r="I643" s="385" t="str">
        <f>CONCATENATE(I644," ","(",H644,")","-",N644," ",M644," ",I645," ","(",H645,")","-",N645," ",M645)</f>
        <v>Ремонт трансформаторов 110 кВ (1Т,2Т)-2 шт. Ремонт выключателя 110 кВ (В 110 С-2,С-12)-2 шт.</v>
      </c>
      <c r="J643" s="489" t="s">
        <v>366</v>
      </c>
      <c r="K643" s="450">
        <v>44409</v>
      </c>
      <c r="L643" s="450">
        <v>44439</v>
      </c>
      <c r="M643" s="490"/>
      <c r="N643" s="490"/>
      <c r="O643" s="493"/>
      <c r="P643" s="493"/>
      <c r="Q643" s="493"/>
      <c r="R643" s="493"/>
      <c r="S643" s="493"/>
      <c r="T643" s="493"/>
      <c r="U643" s="493"/>
      <c r="V643" s="493"/>
      <c r="W643" s="493"/>
      <c r="X643" s="493"/>
      <c r="Y643" s="493"/>
      <c r="Z643" s="493"/>
      <c r="AA643" s="493"/>
      <c r="AB643" s="493"/>
      <c r="AC643" s="493"/>
      <c r="AD643" s="493"/>
      <c r="AE643" s="493"/>
      <c r="AF643" s="493"/>
      <c r="AG643" s="493"/>
      <c r="AH643" s="493"/>
      <c r="AI643" s="493"/>
      <c r="AJ643" s="493"/>
      <c r="AK643" s="493"/>
      <c r="AL643" s="493"/>
      <c r="AM643" s="493"/>
      <c r="AN643" s="493"/>
      <c r="AO643" s="493"/>
      <c r="AP643" s="493"/>
      <c r="AQ643" s="493"/>
      <c r="AR643" s="493"/>
      <c r="AS643" s="493"/>
      <c r="AT643" s="493"/>
      <c r="AU643" s="493"/>
      <c r="AV643" s="493"/>
      <c r="AW643" s="493"/>
      <c r="AX643" s="493"/>
      <c r="AY643" s="493"/>
      <c r="AZ643" s="493"/>
      <c r="BA643" s="493"/>
      <c r="BB643" s="493"/>
      <c r="BC643" s="493"/>
      <c r="BD643" s="493"/>
      <c r="BE643" s="493"/>
      <c r="BF643" s="493"/>
      <c r="BG643" s="493"/>
      <c r="BH643" s="493"/>
      <c r="BI643" s="493"/>
      <c r="BJ643" s="493"/>
      <c r="BK643" s="493"/>
      <c r="BL643" s="493"/>
      <c r="BM643" s="493"/>
      <c r="BN643" s="493"/>
      <c r="BO643" s="493"/>
      <c r="BP643" s="493"/>
      <c r="BQ643" s="493"/>
      <c r="BR643" s="493"/>
      <c r="BS643" s="493"/>
      <c r="BT643" s="493"/>
      <c r="BU643" s="493"/>
      <c r="BV643" s="493"/>
      <c r="BW643" s="493"/>
      <c r="BX643" s="493"/>
      <c r="BY643" s="493"/>
      <c r="BZ643" s="493"/>
      <c r="CA643" s="493"/>
      <c r="CB643" s="493"/>
      <c r="CC643" s="493"/>
      <c r="CD643" s="493"/>
      <c r="CE643" s="493"/>
      <c r="CF643" s="493"/>
      <c r="CG643" s="493"/>
      <c r="CH643" s="493"/>
      <c r="CI643" s="493"/>
      <c r="CJ643" s="493"/>
      <c r="CK643" s="493"/>
      <c r="CL643" s="493"/>
      <c r="CM643" s="493"/>
      <c r="CN643" s="493"/>
      <c r="CO643" s="493"/>
      <c r="CP643" s="493"/>
      <c r="CQ643" s="493"/>
      <c r="CR643" s="493"/>
      <c r="CS643" s="493"/>
      <c r="CT643" s="493"/>
      <c r="CU643" s="493"/>
      <c r="CV643" s="493"/>
      <c r="CW643" s="493"/>
      <c r="CX643" s="493"/>
      <c r="CY643" s="493"/>
      <c r="CZ643" s="493"/>
      <c r="DA643" s="493"/>
      <c r="DB643" s="493"/>
      <c r="DC643" s="493"/>
      <c r="DD643" s="493"/>
      <c r="DE643" s="493"/>
      <c r="DF643" s="493"/>
      <c r="DG643" s="493"/>
      <c r="DH643" s="493"/>
      <c r="DI643" s="493"/>
      <c r="DJ643" s="493"/>
      <c r="DK643" s="493"/>
      <c r="DL643" s="493"/>
      <c r="DM643" s="493"/>
      <c r="DN643" s="493"/>
      <c r="DO643" s="493"/>
      <c r="DP643" s="493"/>
      <c r="DQ643" s="493"/>
      <c r="DR643" s="493"/>
      <c r="DS643" s="493"/>
      <c r="DT643" s="493"/>
      <c r="DU643" s="493"/>
      <c r="DV643" s="493"/>
      <c r="DW643" s="493"/>
      <c r="DX643" s="493"/>
      <c r="DY643" s="493"/>
      <c r="DZ643" s="493"/>
    </row>
    <row r="644" spans="1:130" hidden="1" outlineLevel="2">
      <c r="A644" s="438"/>
      <c r="B644" s="490" t="s">
        <v>237</v>
      </c>
      <c r="C644" s="398" t="s">
        <v>559</v>
      </c>
      <c r="D644" s="399" t="s">
        <v>391</v>
      </c>
      <c r="E644" s="490"/>
      <c r="F644" s="385"/>
      <c r="G644" s="385"/>
      <c r="H644" s="385" t="s">
        <v>752</v>
      </c>
      <c r="I644" s="385" t="s">
        <v>156</v>
      </c>
      <c r="J644" s="489" t="s">
        <v>366</v>
      </c>
      <c r="K644" s="412"/>
      <c r="L644" s="412"/>
      <c r="M644" s="490" t="s">
        <v>37</v>
      </c>
      <c r="N644" s="490">
        <v>2</v>
      </c>
    </row>
    <row r="645" spans="1:130" hidden="1" outlineLevel="2">
      <c r="A645" s="450"/>
      <c r="B645" s="490" t="s">
        <v>237</v>
      </c>
      <c r="C645" s="398" t="s">
        <v>559</v>
      </c>
      <c r="D645" s="399" t="s">
        <v>391</v>
      </c>
      <c r="E645" s="490"/>
      <c r="F645" s="385"/>
      <c r="G645" s="385"/>
      <c r="H645" s="385" t="s">
        <v>798</v>
      </c>
      <c r="I645" s="385" t="s">
        <v>684</v>
      </c>
      <c r="J645" s="489" t="s">
        <v>366</v>
      </c>
      <c r="K645" s="412"/>
      <c r="L645" s="412"/>
      <c r="M645" s="490" t="s">
        <v>37</v>
      </c>
      <c r="N645" s="490">
        <v>2</v>
      </c>
    </row>
    <row r="646" spans="1:130" s="405" customFormat="1" ht="81" outlineLevel="1" collapsed="1">
      <c r="A646" s="489" t="s">
        <v>1356</v>
      </c>
      <c r="B646" s="490" t="s">
        <v>237</v>
      </c>
      <c r="C646" s="398" t="s">
        <v>559</v>
      </c>
      <c r="D646" s="399" t="s">
        <v>391</v>
      </c>
      <c r="E646" s="490" t="s">
        <v>802</v>
      </c>
      <c r="F646" s="385" t="s">
        <v>810</v>
      </c>
      <c r="G646" s="385"/>
      <c r="H646" s="401" t="s">
        <v>800</v>
      </c>
      <c r="I646" s="385" t="str">
        <f>CONCATENATE(I647," ","(",H647,")","-",N647," ",M647," ",I649,"  ","(",H649,")","-",N649," ",M649," ",I648," ","(",H648,")","-",N648," ",M648)</f>
        <v>Ремонт трансформаторов тока 110 кВ (ТФЗМ-110Б-1   ТТ 110 1Т,ТТ 110 2Т)-2 шт. Ремонт трансформаторов 110 кВ  (2Т)-1 шт. Ремонт трансформаторов СН (1ТСН 6,2ТСН 6)-2 шт.</v>
      </c>
      <c r="J646" s="489" t="s">
        <v>366</v>
      </c>
      <c r="K646" s="450">
        <v>44378</v>
      </c>
      <c r="L646" s="450">
        <v>44408</v>
      </c>
      <c r="M646" s="490"/>
      <c r="N646" s="490"/>
      <c r="O646" s="493"/>
      <c r="P646" s="493"/>
      <c r="Q646" s="493"/>
      <c r="R646" s="493"/>
      <c r="S646" s="493"/>
      <c r="T646" s="493"/>
      <c r="U646" s="493"/>
      <c r="V646" s="493"/>
      <c r="W646" s="493"/>
      <c r="X646" s="493"/>
      <c r="Y646" s="493"/>
      <c r="Z646" s="493"/>
      <c r="AA646" s="493"/>
      <c r="AB646" s="493"/>
      <c r="AC646" s="493"/>
      <c r="AD646" s="493"/>
      <c r="AE646" s="493"/>
      <c r="AF646" s="493"/>
      <c r="AG646" s="493"/>
      <c r="AH646" s="493"/>
      <c r="AI646" s="493"/>
      <c r="AJ646" s="493"/>
      <c r="AK646" s="493"/>
      <c r="AL646" s="493"/>
      <c r="AM646" s="493"/>
      <c r="AN646" s="493"/>
      <c r="AO646" s="493"/>
      <c r="AP646" s="493"/>
      <c r="AQ646" s="493"/>
      <c r="AR646" s="493"/>
      <c r="AS646" s="493"/>
      <c r="AT646" s="493"/>
      <c r="AU646" s="493"/>
      <c r="AV646" s="493"/>
      <c r="AW646" s="493"/>
      <c r="AX646" s="493"/>
      <c r="AY646" s="493"/>
      <c r="AZ646" s="493"/>
      <c r="BA646" s="493"/>
      <c r="BB646" s="493"/>
      <c r="BC646" s="493"/>
      <c r="BD646" s="493"/>
      <c r="BE646" s="493"/>
      <c r="BF646" s="493"/>
      <c r="BG646" s="493"/>
      <c r="BH646" s="493"/>
      <c r="BI646" s="493"/>
      <c r="BJ646" s="493"/>
      <c r="BK646" s="493"/>
      <c r="BL646" s="493"/>
      <c r="BM646" s="493"/>
      <c r="BN646" s="493"/>
      <c r="BO646" s="493"/>
      <c r="BP646" s="493"/>
      <c r="BQ646" s="493"/>
      <c r="BR646" s="493"/>
      <c r="BS646" s="493"/>
      <c r="BT646" s="493"/>
      <c r="BU646" s="493"/>
      <c r="BV646" s="493"/>
      <c r="BW646" s="493"/>
      <c r="BX646" s="493"/>
      <c r="BY646" s="493"/>
      <c r="BZ646" s="493"/>
      <c r="CA646" s="493"/>
      <c r="CB646" s="493"/>
      <c r="CC646" s="493"/>
      <c r="CD646" s="493"/>
      <c r="CE646" s="493"/>
      <c r="CF646" s="493"/>
      <c r="CG646" s="493"/>
      <c r="CH646" s="493"/>
      <c r="CI646" s="493"/>
      <c r="CJ646" s="493"/>
      <c r="CK646" s="493"/>
      <c r="CL646" s="493"/>
      <c r="CM646" s="493"/>
      <c r="CN646" s="493"/>
      <c r="CO646" s="493"/>
      <c r="CP646" s="493"/>
      <c r="CQ646" s="493"/>
      <c r="CR646" s="493"/>
      <c r="CS646" s="493"/>
      <c r="CT646" s="493"/>
      <c r="CU646" s="493"/>
      <c r="CV646" s="493"/>
      <c r="CW646" s="493"/>
      <c r="CX646" s="493"/>
      <c r="CY646" s="493"/>
      <c r="CZ646" s="493"/>
      <c r="DA646" s="493"/>
      <c r="DB646" s="493"/>
      <c r="DC646" s="493"/>
      <c r="DD646" s="493"/>
      <c r="DE646" s="493"/>
      <c r="DF646" s="493"/>
      <c r="DG646" s="493"/>
      <c r="DH646" s="493"/>
      <c r="DI646" s="493"/>
      <c r="DJ646" s="493"/>
      <c r="DK646" s="493"/>
      <c r="DL646" s="493"/>
      <c r="DM646" s="493"/>
      <c r="DN646" s="493"/>
      <c r="DO646" s="493"/>
      <c r="DP646" s="493"/>
      <c r="DQ646" s="493"/>
      <c r="DR646" s="493"/>
      <c r="DS646" s="493"/>
      <c r="DT646" s="493"/>
      <c r="DU646" s="493"/>
      <c r="DV646" s="493"/>
      <c r="DW646" s="493"/>
      <c r="DX646" s="493"/>
      <c r="DY646" s="493"/>
      <c r="DZ646" s="493"/>
    </row>
    <row r="647" spans="1:130" hidden="1" outlineLevel="2">
      <c r="A647" s="438"/>
      <c r="B647" s="490" t="s">
        <v>237</v>
      </c>
      <c r="C647" s="398" t="s">
        <v>559</v>
      </c>
      <c r="D647" s="399" t="s">
        <v>391</v>
      </c>
      <c r="E647" s="490"/>
      <c r="F647" s="385"/>
      <c r="G647" s="385"/>
      <c r="H647" s="385" t="s">
        <v>803</v>
      </c>
      <c r="I647" s="385" t="s">
        <v>208</v>
      </c>
      <c r="J647" s="489" t="s">
        <v>366</v>
      </c>
      <c r="K647" s="412"/>
      <c r="L647" s="412"/>
      <c r="M647" s="490" t="s">
        <v>37</v>
      </c>
      <c r="N647" s="490">
        <v>2</v>
      </c>
    </row>
    <row r="648" spans="1:130" hidden="1" outlineLevel="2">
      <c r="A648" s="438"/>
      <c r="B648" s="490" t="s">
        <v>237</v>
      </c>
      <c r="C648" s="398" t="s">
        <v>559</v>
      </c>
      <c r="D648" s="399" t="s">
        <v>391</v>
      </c>
      <c r="E648" s="490"/>
      <c r="F648" s="385"/>
      <c r="G648" s="385"/>
      <c r="H648" s="385" t="s">
        <v>804</v>
      </c>
      <c r="I648" s="385" t="s">
        <v>163</v>
      </c>
      <c r="J648" s="489" t="s">
        <v>366</v>
      </c>
      <c r="K648" s="412"/>
      <c r="L648" s="412"/>
      <c r="M648" s="490" t="s">
        <v>37</v>
      </c>
      <c r="N648" s="490">
        <v>2</v>
      </c>
    </row>
    <row r="649" spans="1:130" hidden="1" outlineLevel="2">
      <c r="A649" s="438"/>
      <c r="B649" s="490" t="s">
        <v>237</v>
      </c>
      <c r="C649" s="398" t="s">
        <v>559</v>
      </c>
      <c r="D649" s="399" t="s">
        <v>391</v>
      </c>
      <c r="E649" s="490"/>
      <c r="F649" s="385"/>
      <c r="G649" s="385"/>
      <c r="H649" s="385" t="s">
        <v>805</v>
      </c>
      <c r="I649" s="385" t="s">
        <v>156</v>
      </c>
      <c r="J649" s="489" t="s">
        <v>366</v>
      </c>
      <c r="K649" s="412"/>
      <c r="L649" s="412"/>
      <c r="M649" s="490" t="s">
        <v>37</v>
      </c>
      <c r="N649" s="490">
        <v>1</v>
      </c>
    </row>
    <row r="650" spans="1:130" s="405" customFormat="1" ht="182.25" outlineLevel="1" collapsed="1">
      <c r="A650" s="489" t="s">
        <v>1357</v>
      </c>
      <c r="B650" s="490" t="s">
        <v>237</v>
      </c>
      <c r="C650" s="398" t="s">
        <v>607</v>
      </c>
      <c r="D650" s="399" t="s">
        <v>391</v>
      </c>
      <c r="E650" s="490" t="s">
        <v>642</v>
      </c>
      <c r="F650" s="385" t="s">
        <v>810</v>
      </c>
      <c r="G650" s="385"/>
      <c r="H650" s="401" t="s">
        <v>635</v>
      </c>
      <c r="I650" s="385" t="str">
        <f>CONCATENATE(I651," ","(",H651,")","-",N651," ",M651," ",I655,"  ","(",H655,")","-",N655," ",M655," ",I656,"  ","(",H656,")","-",N656," ",M656," ",I652," ","(",H652,")","-",N652," ",M652," ",I653," ","(",H653,")","-",N653," ",M653," ",I654," ","(",H654,")","-",N654," ",M654," ",I657," ","(",H657,")","-",N657," ",M657," ",I658," ","(",H658,")","-",N658," ",M658)</f>
        <v>Ремонт трансформаторов 110 кВ (2Т зав №9256 )-1 шт. Ремонт ОПН, разрядников 110 кВ  (ОПН 110 2Т )-3 шт. Ремонт ОПН, разрядников 35 кВ  (ОПН 35 2Т, ОПН 0 2Т, ОПН 35 ТН)-7 шт. Ремонт выключателя 35 кВ (В-35 1Т, 2Т)-2 шт. Ремонт разъединителя 110 кВ (ШР 110 2Т, СР 110 2с)-2 шт. Ремонт заземлителя 110 кВ (ЗОН-110М 2Т)-1 шт. Ремонт трансформатора напряжения 10 кВ (яч.6 ТН 10 1с )-1 шт. Ремонт выключателя 6-10 кВ (В 10 яч.7, В 10 яч.9, СВ 10 яч.10)-3 шт.</v>
      </c>
      <c r="J650" s="489" t="s">
        <v>366</v>
      </c>
      <c r="K650" s="450">
        <v>44470</v>
      </c>
      <c r="L650" s="450">
        <v>44500</v>
      </c>
      <c r="M650" s="490"/>
      <c r="N650" s="490"/>
      <c r="O650" s="493"/>
      <c r="P650" s="493"/>
      <c r="Q650" s="493"/>
      <c r="R650" s="493"/>
      <c r="S650" s="493"/>
      <c r="T650" s="493"/>
      <c r="U650" s="493"/>
      <c r="V650" s="493"/>
      <c r="W650" s="493"/>
      <c r="X650" s="493"/>
      <c r="Y650" s="493"/>
      <c r="Z650" s="493"/>
      <c r="AA650" s="493"/>
      <c r="AB650" s="493"/>
      <c r="AC650" s="493"/>
      <c r="AD650" s="493"/>
      <c r="AE650" s="493"/>
      <c r="AF650" s="493"/>
      <c r="AG650" s="493"/>
      <c r="AH650" s="493"/>
      <c r="AI650" s="493"/>
      <c r="AJ650" s="493"/>
      <c r="AK650" s="493"/>
      <c r="AL650" s="493"/>
      <c r="AM650" s="493"/>
      <c r="AN650" s="493"/>
      <c r="AO650" s="493"/>
      <c r="AP650" s="493"/>
      <c r="AQ650" s="493"/>
      <c r="AR650" s="493"/>
      <c r="AS650" s="493"/>
      <c r="AT650" s="493"/>
      <c r="AU650" s="493"/>
      <c r="AV650" s="493"/>
      <c r="AW650" s="493"/>
      <c r="AX650" s="493"/>
      <c r="AY650" s="493"/>
      <c r="AZ650" s="493"/>
      <c r="BA650" s="493"/>
      <c r="BB650" s="493"/>
      <c r="BC650" s="493"/>
      <c r="BD650" s="493"/>
      <c r="BE650" s="493"/>
      <c r="BF650" s="493"/>
      <c r="BG650" s="493"/>
      <c r="BH650" s="493"/>
      <c r="BI650" s="493"/>
      <c r="BJ650" s="493"/>
      <c r="BK650" s="493"/>
      <c r="BL650" s="493"/>
      <c r="BM650" s="493"/>
      <c r="BN650" s="493"/>
      <c r="BO650" s="493"/>
      <c r="BP650" s="493"/>
      <c r="BQ650" s="493"/>
      <c r="BR650" s="493"/>
      <c r="BS650" s="493"/>
      <c r="BT650" s="493"/>
      <c r="BU650" s="493"/>
      <c r="BV650" s="493"/>
      <c r="BW650" s="493"/>
      <c r="BX650" s="493"/>
      <c r="BY650" s="493"/>
      <c r="BZ650" s="493"/>
      <c r="CA650" s="493"/>
      <c r="CB650" s="493"/>
      <c r="CC650" s="493"/>
      <c r="CD650" s="493"/>
      <c r="CE650" s="493"/>
      <c r="CF650" s="493"/>
      <c r="CG650" s="493"/>
      <c r="CH650" s="493"/>
      <c r="CI650" s="493"/>
      <c r="CJ650" s="493"/>
      <c r="CK650" s="493"/>
      <c r="CL650" s="493"/>
      <c r="CM650" s="493"/>
      <c r="CN650" s="493"/>
      <c r="CO650" s="493"/>
      <c r="CP650" s="493"/>
      <c r="CQ650" s="493"/>
      <c r="CR650" s="493"/>
      <c r="CS650" s="493"/>
      <c r="CT650" s="493"/>
      <c r="CU650" s="493"/>
      <c r="CV650" s="493"/>
      <c r="CW650" s="493"/>
      <c r="CX650" s="493"/>
      <c r="CY650" s="493"/>
      <c r="CZ650" s="493"/>
      <c r="DA650" s="493"/>
      <c r="DB650" s="493"/>
      <c r="DC650" s="493"/>
      <c r="DD650" s="493"/>
      <c r="DE650" s="493"/>
      <c r="DF650" s="493"/>
      <c r="DG650" s="493"/>
      <c r="DH650" s="493"/>
      <c r="DI650" s="493"/>
      <c r="DJ650" s="493"/>
      <c r="DK650" s="493"/>
      <c r="DL650" s="493"/>
      <c r="DM650" s="493"/>
      <c r="DN650" s="493"/>
      <c r="DO650" s="493"/>
      <c r="DP650" s="493"/>
      <c r="DQ650" s="493"/>
      <c r="DR650" s="493"/>
      <c r="DS650" s="493"/>
      <c r="DT650" s="493"/>
      <c r="DU650" s="493"/>
      <c r="DV650" s="493"/>
      <c r="DW650" s="493"/>
      <c r="DX650" s="493"/>
      <c r="DY650" s="493"/>
      <c r="DZ650" s="493"/>
    </row>
    <row r="651" spans="1:130" hidden="1" outlineLevel="2">
      <c r="A651" s="438"/>
      <c r="B651" s="490" t="s">
        <v>237</v>
      </c>
      <c r="C651" s="398" t="s">
        <v>607</v>
      </c>
      <c r="D651" s="399" t="s">
        <v>391</v>
      </c>
      <c r="E651" s="490"/>
      <c r="F651" s="385"/>
      <c r="G651" s="385"/>
      <c r="H651" s="385" t="s">
        <v>636</v>
      </c>
      <c r="I651" s="385" t="s">
        <v>156</v>
      </c>
      <c r="J651" s="489" t="s">
        <v>366</v>
      </c>
      <c r="K651" s="412"/>
      <c r="L651" s="412"/>
      <c r="M651" s="490" t="s">
        <v>37</v>
      </c>
      <c r="N651" s="490">
        <v>1</v>
      </c>
    </row>
    <row r="652" spans="1:130" hidden="1" outlineLevel="2">
      <c r="A652" s="438"/>
      <c r="B652" s="490" t="s">
        <v>237</v>
      </c>
      <c r="C652" s="398" t="s">
        <v>607</v>
      </c>
      <c r="D652" s="399" t="s">
        <v>391</v>
      </c>
      <c r="E652" s="490"/>
      <c r="F652" s="385"/>
      <c r="G652" s="385"/>
      <c r="H652" s="385" t="s">
        <v>637</v>
      </c>
      <c r="I652" s="385" t="s">
        <v>598</v>
      </c>
      <c r="J652" s="489" t="s">
        <v>366</v>
      </c>
      <c r="K652" s="412"/>
      <c r="L652" s="412"/>
      <c r="M652" s="490" t="s">
        <v>37</v>
      </c>
      <c r="N652" s="490">
        <v>2</v>
      </c>
    </row>
    <row r="653" spans="1:130" hidden="1" outlineLevel="2">
      <c r="A653" s="450"/>
      <c r="B653" s="490" t="s">
        <v>237</v>
      </c>
      <c r="C653" s="398" t="s">
        <v>607</v>
      </c>
      <c r="D653" s="399" t="s">
        <v>391</v>
      </c>
      <c r="E653" s="490"/>
      <c r="F653" s="385"/>
      <c r="G653" s="385"/>
      <c r="H653" s="385" t="s">
        <v>638</v>
      </c>
      <c r="I653" s="385" t="s">
        <v>469</v>
      </c>
      <c r="J653" s="489" t="s">
        <v>366</v>
      </c>
      <c r="K653" s="412"/>
      <c r="L653" s="412"/>
      <c r="M653" s="490" t="s">
        <v>37</v>
      </c>
      <c r="N653" s="490">
        <v>2</v>
      </c>
    </row>
    <row r="654" spans="1:130" hidden="1" outlineLevel="2">
      <c r="A654" s="438"/>
      <c r="B654" s="490" t="s">
        <v>237</v>
      </c>
      <c r="C654" s="398" t="s">
        <v>607</v>
      </c>
      <c r="D654" s="399" t="s">
        <v>391</v>
      </c>
      <c r="E654" s="490"/>
      <c r="F654" s="385"/>
      <c r="G654" s="385"/>
      <c r="H654" s="385" t="s">
        <v>478</v>
      </c>
      <c r="I654" s="385" t="s">
        <v>472</v>
      </c>
      <c r="J654" s="489" t="s">
        <v>366</v>
      </c>
      <c r="K654" s="412"/>
      <c r="L654" s="412"/>
      <c r="M654" s="490" t="s">
        <v>37</v>
      </c>
      <c r="N654" s="490">
        <v>1</v>
      </c>
    </row>
    <row r="655" spans="1:130" hidden="1" outlineLevel="2">
      <c r="A655" s="438"/>
      <c r="B655" s="490" t="s">
        <v>237</v>
      </c>
      <c r="C655" s="398" t="s">
        <v>607</v>
      </c>
      <c r="D655" s="399" t="s">
        <v>391</v>
      </c>
      <c r="E655" s="490"/>
      <c r="F655" s="385"/>
      <c r="G655" s="385"/>
      <c r="H655" s="385" t="s">
        <v>639</v>
      </c>
      <c r="I655" s="385" t="s">
        <v>463</v>
      </c>
      <c r="J655" s="489" t="s">
        <v>366</v>
      </c>
      <c r="K655" s="412"/>
      <c r="L655" s="412"/>
      <c r="M655" s="490" t="s">
        <v>37</v>
      </c>
      <c r="N655" s="490">
        <v>3</v>
      </c>
    </row>
    <row r="656" spans="1:130" ht="27" hidden="1" customHeight="1" outlineLevel="2">
      <c r="A656" s="438"/>
      <c r="B656" s="490" t="s">
        <v>237</v>
      </c>
      <c r="C656" s="398" t="s">
        <v>607</v>
      </c>
      <c r="D656" s="399" t="s">
        <v>391</v>
      </c>
      <c r="E656" s="490"/>
      <c r="F656" s="385"/>
      <c r="G656" s="385"/>
      <c r="H656" s="385" t="s">
        <v>640</v>
      </c>
      <c r="I656" s="385" t="s">
        <v>491</v>
      </c>
      <c r="J656" s="489" t="s">
        <v>366</v>
      </c>
      <c r="K656" s="412"/>
      <c r="L656" s="412"/>
      <c r="M656" s="490" t="s">
        <v>37</v>
      </c>
      <c r="N656" s="490">
        <v>7</v>
      </c>
    </row>
    <row r="657" spans="1:130" hidden="1" outlineLevel="2">
      <c r="A657" s="438"/>
      <c r="B657" s="490" t="s">
        <v>237</v>
      </c>
      <c r="C657" s="398" t="s">
        <v>607</v>
      </c>
      <c r="D657" s="399" t="s">
        <v>391</v>
      </c>
      <c r="E657" s="490"/>
      <c r="F657" s="385"/>
      <c r="G657" s="385"/>
      <c r="H657" s="385" t="s">
        <v>641</v>
      </c>
      <c r="I657" s="385" t="s">
        <v>539</v>
      </c>
      <c r="J657" s="489" t="s">
        <v>366</v>
      </c>
      <c r="K657" s="412"/>
      <c r="L657" s="412"/>
      <c r="M657" s="490" t="s">
        <v>37</v>
      </c>
      <c r="N657" s="490">
        <v>1</v>
      </c>
    </row>
    <row r="658" spans="1:130" hidden="1" outlineLevel="2">
      <c r="A658" s="438"/>
      <c r="B658" s="490" t="s">
        <v>237</v>
      </c>
      <c r="C658" s="398" t="s">
        <v>607</v>
      </c>
      <c r="D658" s="399" t="s">
        <v>391</v>
      </c>
      <c r="E658" s="490"/>
      <c r="F658" s="385"/>
      <c r="G658" s="385"/>
      <c r="H658" s="385" t="s">
        <v>643</v>
      </c>
      <c r="I658" s="385" t="s">
        <v>644</v>
      </c>
      <c r="J658" s="489" t="s">
        <v>366</v>
      </c>
      <c r="K658" s="412"/>
      <c r="L658" s="412"/>
      <c r="M658" s="490" t="s">
        <v>37</v>
      </c>
      <c r="N658" s="490">
        <v>3</v>
      </c>
    </row>
    <row r="659" spans="1:130" s="405" customFormat="1" ht="40.5" outlineLevel="1" collapsed="1">
      <c r="A659" s="489" t="s">
        <v>1358</v>
      </c>
      <c r="B659" s="490" t="s">
        <v>237</v>
      </c>
      <c r="C659" s="398" t="s">
        <v>607</v>
      </c>
      <c r="D659" s="399" t="s">
        <v>391</v>
      </c>
      <c r="E659" s="490" t="s">
        <v>645</v>
      </c>
      <c r="F659" s="385" t="s">
        <v>810</v>
      </c>
      <c r="G659" s="385"/>
      <c r="H659" s="401" t="s">
        <v>654</v>
      </c>
      <c r="I659" s="385" t="str">
        <f>CONCATENATE(I660," ","(",H660,")","-",N660," ",M660," ",I661,"  ","(",H661,")","-",N661," ",M661)</f>
        <v>Ремонт трансформаторов СН (1 ТСН № 836521)-1 шт. Ремонт ОПН, разрядников 110 кВ  (ОПН 110 1Т)-3 шт.</v>
      </c>
      <c r="J659" s="489" t="s">
        <v>366</v>
      </c>
      <c r="K659" s="450">
        <v>44409</v>
      </c>
      <c r="L659" s="450">
        <v>44439</v>
      </c>
      <c r="M659" s="490"/>
      <c r="N659" s="490"/>
      <c r="O659" s="493"/>
      <c r="P659" s="493"/>
      <c r="Q659" s="493"/>
      <c r="R659" s="493"/>
      <c r="S659" s="493"/>
      <c r="T659" s="493"/>
      <c r="U659" s="493"/>
      <c r="V659" s="493"/>
      <c r="W659" s="493"/>
      <c r="X659" s="493"/>
      <c r="Y659" s="493"/>
      <c r="Z659" s="493"/>
      <c r="AA659" s="493"/>
      <c r="AB659" s="493"/>
      <c r="AC659" s="493"/>
      <c r="AD659" s="493"/>
      <c r="AE659" s="493"/>
      <c r="AF659" s="493"/>
      <c r="AG659" s="493"/>
      <c r="AH659" s="493"/>
      <c r="AI659" s="493"/>
      <c r="AJ659" s="493"/>
      <c r="AK659" s="493"/>
      <c r="AL659" s="493"/>
      <c r="AM659" s="493"/>
      <c r="AN659" s="493"/>
      <c r="AO659" s="493"/>
      <c r="AP659" s="493"/>
      <c r="AQ659" s="493"/>
      <c r="AR659" s="493"/>
      <c r="AS659" s="493"/>
      <c r="AT659" s="493"/>
      <c r="AU659" s="493"/>
      <c r="AV659" s="493"/>
      <c r="AW659" s="493"/>
      <c r="AX659" s="493"/>
      <c r="AY659" s="493"/>
      <c r="AZ659" s="493"/>
      <c r="BA659" s="493"/>
      <c r="BB659" s="493"/>
      <c r="BC659" s="493"/>
      <c r="BD659" s="493"/>
      <c r="BE659" s="493"/>
      <c r="BF659" s="493"/>
      <c r="BG659" s="493"/>
      <c r="BH659" s="493"/>
      <c r="BI659" s="493"/>
      <c r="BJ659" s="493"/>
      <c r="BK659" s="493"/>
      <c r="BL659" s="493"/>
      <c r="BM659" s="493"/>
      <c r="BN659" s="493"/>
      <c r="BO659" s="493"/>
      <c r="BP659" s="493"/>
      <c r="BQ659" s="493"/>
      <c r="BR659" s="493"/>
      <c r="BS659" s="493"/>
      <c r="BT659" s="493"/>
      <c r="BU659" s="493"/>
      <c r="BV659" s="493"/>
      <c r="BW659" s="493"/>
      <c r="BX659" s="493"/>
      <c r="BY659" s="493"/>
      <c r="BZ659" s="493"/>
      <c r="CA659" s="493"/>
      <c r="CB659" s="493"/>
      <c r="CC659" s="493"/>
      <c r="CD659" s="493"/>
      <c r="CE659" s="493"/>
      <c r="CF659" s="493"/>
      <c r="CG659" s="493"/>
      <c r="CH659" s="493"/>
      <c r="CI659" s="493"/>
      <c r="CJ659" s="493"/>
      <c r="CK659" s="493"/>
      <c r="CL659" s="493"/>
      <c r="CM659" s="493"/>
      <c r="CN659" s="493"/>
      <c r="CO659" s="493"/>
      <c r="CP659" s="493"/>
      <c r="CQ659" s="493"/>
      <c r="CR659" s="493"/>
      <c r="CS659" s="493"/>
      <c r="CT659" s="493"/>
      <c r="CU659" s="493"/>
      <c r="CV659" s="493"/>
      <c r="CW659" s="493"/>
      <c r="CX659" s="493"/>
      <c r="CY659" s="493"/>
      <c r="CZ659" s="493"/>
      <c r="DA659" s="493"/>
      <c r="DB659" s="493"/>
      <c r="DC659" s="493"/>
      <c r="DD659" s="493"/>
      <c r="DE659" s="493"/>
      <c r="DF659" s="493"/>
      <c r="DG659" s="493"/>
      <c r="DH659" s="493"/>
      <c r="DI659" s="493"/>
      <c r="DJ659" s="493"/>
      <c r="DK659" s="493"/>
      <c r="DL659" s="493"/>
      <c r="DM659" s="493"/>
      <c r="DN659" s="493"/>
      <c r="DO659" s="493"/>
      <c r="DP659" s="493"/>
      <c r="DQ659" s="493"/>
      <c r="DR659" s="493"/>
      <c r="DS659" s="493"/>
      <c r="DT659" s="493"/>
      <c r="DU659" s="493"/>
      <c r="DV659" s="493"/>
      <c r="DW659" s="493"/>
      <c r="DX659" s="493"/>
      <c r="DY659" s="493"/>
      <c r="DZ659" s="493"/>
    </row>
    <row r="660" spans="1:130" hidden="1" outlineLevel="2">
      <c r="A660" s="438"/>
      <c r="B660" s="490" t="s">
        <v>237</v>
      </c>
      <c r="C660" s="398" t="s">
        <v>607</v>
      </c>
      <c r="D660" s="399" t="s">
        <v>391</v>
      </c>
      <c r="E660" s="490"/>
      <c r="F660" s="385"/>
      <c r="G660" s="385"/>
      <c r="H660" s="385" t="s">
        <v>656</v>
      </c>
      <c r="I660" s="385" t="s">
        <v>163</v>
      </c>
      <c r="J660" s="489" t="s">
        <v>366</v>
      </c>
      <c r="K660" s="412"/>
      <c r="L660" s="412"/>
      <c r="M660" s="490" t="s">
        <v>37</v>
      </c>
      <c r="N660" s="490">
        <v>1</v>
      </c>
    </row>
    <row r="661" spans="1:130" hidden="1" outlineLevel="2">
      <c r="A661" s="438"/>
      <c r="B661" s="490" t="s">
        <v>237</v>
      </c>
      <c r="C661" s="398" t="s">
        <v>607</v>
      </c>
      <c r="D661" s="399" t="s">
        <v>391</v>
      </c>
      <c r="E661" s="490"/>
      <c r="F661" s="385"/>
      <c r="G661" s="385"/>
      <c r="H661" s="385" t="s">
        <v>655</v>
      </c>
      <c r="I661" s="385" t="s">
        <v>463</v>
      </c>
      <c r="J661" s="489" t="s">
        <v>366</v>
      </c>
      <c r="K661" s="412"/>
      <c r="L661" s="412"/>
      <c r="M661" s="490" t="s">
        <v>37</v>
      </c>
      <c r="N661" s="490">
        <v>3</v>
      </c>
    </row>
    <row r="662" spans="1:130" s="405" customFormat="1" ht="121.5" outlineLevel="1" collapsed="1">
      <c r="A662" s="489" t="s">
        <v>1359</v>
      </c>
      <c r="B662" s="490" t="s">
        <v>237</v>
      </c>
      <c r="C662" s="398" t="s">
        <v>607</v>
      </c>
      <c r="D662" s="399" t="s">
        <v>391</v>
      </c>
      <c r="E662" s="490" t="s">
        <v>666</v>
      </c>
      <c r="F662" s="385" t="s">
        <v>810</v>
      </c>
      <c r="G662" s="385"/>
      <c r="H662" s="401" t="s">
        <v>667</v>
      </c>
      <c r="I662" s="385" t="str">
        <f>CONCATENATE(I663," ","(",H663,")","-",N663," ",M663," ",I664,"  ","(",H664,")","-",N664," ",M664," ",I665," ","(",H665,")","-",N665," ",M665)</f>
        <v>Ремонт трансформатора напряжения 110 кВ (ТН 110 1с, ТН 110 2с)-6 шт. Ремонт трансформатора напряжения 6-10 кВ  (ТН 10 1с яч.13, ТН 10 2с яч.19)-2 шт. Ремонт разъединителя 110 кВ (ШР 110 1Т, ШР 110 2Т, ТР 110 1Т, ТР 110 2Т, СР 110 1с, СР 110 2с, ШР 110 ТН 1с, ШР 110 ТН 2с)-8 шт.</v>
      </c>
      <c r="J662" s="489" t="s">
        <v>366</v>
      </c>
      <c r="K662" s="450">
        <v>44378</v>
      </c>
      <c r="L662" s="450">
        <v>44469</v>
      </c>
      <c r="M662" s="490"/>
      <c r="N662" s="490"/>
      <c r="O662" s="493"/>
      <c r="P662" s="493"/>
      <c r="Q662" s="493"/>
      <c r="R662" s="493"/>
      <c r="S662" s="493"/>
      <c r="T662" s="493"/>
      <c r="U662" s="493"/>
      <c r="V662" s="493"/>
      <c r="W662" s="493"/>
      <c r="X662" s="493"/>
      <c r="Y662" s="493"/>
      <c r="Z662" s="493"/>
      <c r="AA662" s="493"/>
      <c r="AB662" s="493"/>
      <c r="AC662" s="493"/>
      <c r="AD662" s="493"/>
      <c r="AE662" s="493"/>
      <c r="AF662" s="493"/>
      <c r="AG662" s="493"/>
      <c r="AH662" s="493"/>
      <c r="AI662" s="493"/>
      <c r="AJ662" s="493"/>
      <c r="AK662" s="493"/>
      <c r="AL662" s="493"/>
      <c r="AM662" s="493"/>
      <c r="AN662" s="493"/>
      <c r="AO662" s="493"/>
      <c r="AP662" s="493"/>
      <c r="AQ662" s="493"/>
      <c r="AR662" s="493"/>
      <c r="AS662" s="493"/>
      <c r="AT662" s="493"/>
      <c r="AU662" s="493"/>
      <c r="AV662" s="493"/>
      <c r="AW662" s="493"/>
      <c r="AX662" s="493"/>
      <c r="AY662" s="493"/>
      <c r="AZ662" s="493"/>
      <c r="BA662" s="493"/>
      <c r="BB662" s="493"/>
      <c r="BC662" s="493"/>
      <c r="BD662" s="493"/>
      <c r="BE662" s="493"/>
      <c r="BF662" s="493"/>
      <c r="BG662" s="493"/>
      <c r="BH662" s="493"/>
      <c r="BI662" s="493"/>
      <c r="BJ662" s="493"/>
      <c r="BK662" s="493"/>
      <c r="BL662" s="493"/>
      <c r="BM662" s="493"/>
      <c r="BN662" s="493"/>
      <c r="BO662" s="493"/>
      <c r="BP662" s="493"/>
      <c r="BQ662" s="493"/>
      <c r="BR662" s="493"/>
      <c r="BS662" s="493"/>
      <c r="BT662" s="493"/>
      <c r="BU662" s="493"/>
      <c r="BV662" s="493"/>
      <c r="BW662" s="493"/>
      <c r="BX662" s="493"/>
      <c r="BY662" s="493"/>
      <c r="BZ662" s="493"/>
      <c r="CA662" s="493"/>
      <c r="CB662" s="493"/>
      <c r="CC662" s="493"/>
      <c r="CD662" s="493"/>
      <c r="CE662" s="493"/>
      <c r="CF662" s="493"/>
      <c r="CG662" s="493"/>
      <c r="CH662" s="493"/>
      <c r="CI662" s="493"/>
      <c r="CJ662" s="493"/>
      <c r="CK662" s="493"/>
      <c r="CL662" s="493"/>
      <c r="CM662" s="493"/>
      <c r="CN662" s="493"/>
      <c r="CO662" s="493"/>
      <c r="CP662" s="493"/>
      <c r="CQ662" s="493"/>
      <c r="CR662" s="493"/>
      <c r="CS662" s="493"/>
      <c r="CT662" s="493"/>
      <c r="CU662" s="493"/>
      <c r="CV662" s="493"/>
      <c r="CW662" s="493"/>
      <c r="CX662" s="493"/>
      <c r="CY662" s="493"/>
      <c r="CZ662" s="493"/>
      <c r="DA662" s="493"/>
      <c r="DB662" s="493"/>
      <c r="DC662" s="493"/>
      <c r="DD662" s="493"/>
      <c r="DE662" s="493"/>
      <c r="DF662" s="493"/>
      <c r="DG662" s="493"/>
      <c r="DH662" s="493"/>
      <c r="DI662" s="493"/>
      <c r="DJ662" s="493"/>
      <c r="DK662" s="493"/>
      <c r="DL662" s="493"/>
      <c r="DM662" s="493"/>
      <c r="DN662" s="493"/>
      <c r="DO662" s="493"/>
      <c r="DP662" s="493"/>
      <c r="DQ662" s="493"/>
      <c r="DR662" s="493"/>
      <c r="DS662" s="493"/>
      <c r="DT662" s="493"/>
      <c r="DU662" s="493"/>
      <c r="DV662" s="493"/>
      <c r="DW662" s="493"/>
      <c r="DX662" s="493"/>
      <c r="DY662" s="493"/>
      <c r="DZ662" s="493"/>
    </row>
    <row r="663" spans="1:130" hidden="1" outlineLevel="2">
      <c r="A663" s="438"/>
      <c r="B663" s="490" t="s">
        <v>237</v>
      </c>
      <c r="C663" s="398" t="s">
        <v>607</v>
      </c>
      <c r="D663" s="399" t="s">
        <v>391</v>
      </c>
      <c r="E663" s="490"/>
      <c r="F663" s="385"/>
      <c r="G663" s="385"/>
      <c r="H663" s="385" t="s">
        <v>668</v>
      </c>
      <c r="I663" s="385" t="s">
        <v>498</v>
      </c>
      <c r="J663" s="489" t="s">
        <v>366</v>
      </c>
      <c r="K663" s="412"/>
      <c r="L663" s="412"/>
      <c r="M663" s="490" t="s">
        <v>37</v>
      </c>
      <c r="N663" s="490">
        <v>6</v>
      </c>
    </row>
    <row r="664" spans="1:130" hidden="1" outlineLevel="2">
      <c r="A664" s="438"/>
      <c r="B664" s="490" t="s">
        <v>237</v>
      </c>
      <c r="C664" s="398" t="s">
        <v>607</v>
      </c>
      <c r="D664" s="399" t="s">
        <v>391</v>
      </c>
      <c r="E664" s="490"/>
      <c r="F664" s="385"/>
      <c r="G664" s="385"/>
      <c r="H664" s="385" t="s">
        <v>669</v>
      </c>
      <c r="I664" s="385" t="s">
        <v>3374</v>
      </c>
      <c r="J664" s="489" t="s">
        <v>366</v>
      </c>
      <c r="K664" s="412"/>
      <c r="L664" s="412"/>
      <c r="M664" s="490" t="s">
        <v>37</v>
      </c>
      <c r="N664" s="490">
        <v>2</v>
      </c>
    </row>
    <row r="665" spans="1:130" ht="60.75" hidden="1" outlineLevel="2">
      <c r="A665" s="450"/>
      <c r="B665" s="490" t="s">
        <v>237</v>
      </c>
      <c r="C665" s="398" t="s">
        <v>607</v>
      </c>
      <c r="D665" s="399" t="s">
        <v>391</v>
      </c>
      <c r="E665" s="490"/>
      <c r="F665" s="385"/>
      <c r="G665" s="385"/>
      <c r="H665" s="385" t="s">
        <v>665</v>
      </c>
      <c r="I665" s="385" t="s">
        <v>469</v>
      </c>
      <c r="J665" s="489" t="s">
        <v>366</v>
      </c>
      <c r="K665" s="412"/>
      <c r="L665" s="412"/>
      <c r="M665" s="490" t="s">
        <v>37</v>
      </c>
      <c r="N665" s="490">
        <v>8</v>
      </c>
    </row>
    <row r="666" spans="1:130" s="405" customFormat="1" ht="121.5" outlineLevel="1" collapsed="1">
      <c r="A666" s="489" t="s">
        <v>1360</v>
      </c>
      <c r="B666" s="490" t="s">
        <v>237</v>
      </c>
      <c r="C666" s="398" t="s">
        <v>607</v>
      </c>
      <c r="D666" s="399" t="s">
        <v>391</v>
      </c>
      <c r="E666" s="490" t="s">
        <v>678</v>
      </c>
      <c r="F666" s="385" t="s">
        <v>810</v>
      </c>
      <c r="G666" s="385"/>
      <c r="H666" s="401" t="s">
        <v>677</v>
      </c>
      <c r="I666" s="385" t="str">
        <f>CONCATENATE(I667," ","(",H667,")","-",N667," ",M667," ",I668,"  ","(",H668,")","-",N668," ",M668," ",I669,"  ","(",H669,")","-",N669," ",M669," ",I670," ","(",H670,")","-",N670," ",M670)</f>
        <v>Ремонт трансформаторов СН (ТСН-1ТМ-100 №874А408, ТСН-2 ТМ-100 №107972)-1 шт. Ремонт ОПН, разрядников 110 кВ  (ОПН 110 1Т, ОПН 110 2Т)-6 шт. Ремонт ОПН, разрядников 35 кВ  (ОПН 35 1Т, ОПН 35 2Т, ОПН 0 1Т, ОПН 0 2Т)-8 шт. Ремонт ОПН, разрядников 6-10 кВ (ОПН 10 1Т, ОПН 10 2Т)-6 шт.</v>
      </c>
      <c r="J666" s="489" t="s">
        <v>366</v>
      </c>
      <c r="K666" s="450">
        <v>44348</v>
      </c>
      <c r="L666" s="450">
        <v>44377</v>
      </c>
      <c r="M666" s="490"/>
      <c r="N666" s="490"/>
      <c r="O666" s="493"/>
      <c r="P666" s="493"/>
      <c r="Q666" s="493"/>
      <c r="R666" s="493"/>
      <c r="S666" s="493"/>
      <c r="T666" s="493"/>
      <c r="U666" s="493"/>
      <c r="V666" s="493"/>
      <c r="W666" s="493"/>
      <c r="X666" s="493"/>
      <c r="Y666" s="493"/>
      <c r="Z666" s="493"/>
      <c r="AA666" s="493"/>
      <c r="AB666" s="493"/>
      <c r="AC666" s="493"/>
      <c r="AD666" s="493"/>
      <c r="AE666" s="493"/>
      <c r="AF666" s="493"/>
      <c r="AG666" s="493"/>
      <c r="AH666" s="493"/>
      <c r="AI666" s="493"/>
      <c r="AJ666" s="493"/>
      <c r="AK666" s="493"/>
      <c r="AL666" s="493"/>
      <c r="AM666" s="493"/>
      <c r="AN666" s="493"/>
      <c r="AO666" s="493"/>
      <c r="AP666" s="493"/>
      <c r="AQ666" s="493"/>
      <c r="AR666" s="493"/>
      <c r="AS666" s="493"/>
      <c r="AT666" s="493"/>
      <c r="AU666" s="493"/>
      <c r="AV666" s="493"/>
      <c r="AW666" s="493"/>
      <c r="AX666" s="493"/>
      <c r="AY666" s="493"/>
      <c r="AZ666" s="493"/>
      <c r="BA666" s="493"/>
      <c r="BB666" s="493"/>
      <c r="BC666" s="493"/>
      <c r="BD666" s="493"/>
      <c r="BE666" s="493"/>
      <c r="BF666" s="493"/>
      <c r="BG666" s="493"/>
      <c r="BH666" s="493"/>
      <c r="BI666" s="493"/>
      <c r="BJ666" s="493"/>
      <c r="BK666" s="493"/>
      <c r="BL666" s="493"/>
      <c r="BM666" s="493"/>
      <c r="BN666" s="493"/>
      <c r="BO666" s="493"/>
      <c r="BP666" s="493"/>
      <c r="BQ666" s="493"/>
      <c r="BR666" s="493"/>
      <c r="BS666" s="493"/>
      <c r="BT666" s="493"/>
      <c r="BU666" s="493"/>
      <c r="BV666" s="493"/>
      <c r="BW666" s="493"/>
      <c r="BX666" s="493"/>
      <c r="BY666" s="493"/>
      <c r="BZ666" s="493"/>
      <c r="CA666" s="493"/>
      <c r="CB666" s="493"/>
      <c r="CC666" s="493"/>
      <c r="CD666" s="493"/>
      <c r="CE666" s="493"/>
      <c r="CF666" s="493"/>
      <c r="CG666" s="493"/>
      <c r="CH666" s="493"/>
      <c r="CI666" s="493"/>
      <c r="CJ666" s="493"/>
      <c r="CK666" s="493"/>
      <c r="CL666" s="493"/>
      <c r="CM666" s="493"/>
      <c r="CN666" s="493"/>
      <c r="CO666" s="493"/>
      <c r="CP666" s="493"/>
      <c r="CQ666" s="493"/>
      <c r="CR666" s="493"/>
      <c r="CS666" s="493"/>
      <c r="CT666" s="493"/>
      <c r="CU666" s="493"/>
      <c r="CV666" s="493"/>
      <c r="CW666" s="493"/>
      <c r="CX666" s="493"/>
      <c r="CY666" s="493"/>
      <c r="CZ666" s="493"/>
      <c r="DA666" s="493"/>
      <c r="DB666" s="493"/>
      <c r="DC666" s="493"/>
      <c r="DD666" s="493"/>
      <c r="DE666" s="493"/>
      <c r="DF666" s="493"/>
      <c r="DG666" s="493"/>
      <c r="DH666" s="493"/>
      <c r="DI666" s="493"/>
      <c r="DJ666" s="493"/>
      <c r="DK666" s="493"/>
      <c r="DL666" s="493"/>
      <c r="DM666" s="493"/>
      <c r="DN666" s="493"/>
      <c r="DO666" s="493"/>
      <c r="DP666" s="493"/>
      <c r="DQ666" s="493"/>
      <c r="DR666" s="493"/>
      <c r="DS666" s="493"/>
      <c r="DT666" s="493"/>
      <c r="DU666" s="493"/>
      <c r="DV666" s="493"/>
      <c r="DW666" s="493"/>
      <c r="DX666" s="493"/>
      <c r="DY666" s="493"/>
      <c r="DZ666" s="493"/>
    </row>
    <row r="667" spans="1:130" ht="40.5" hidden="1" outlineLevel="2">
      <c r="A667" s="438"/>
      <c r="B667" s="490" t="s">
        <v>237</v>
      </c>
      <c r="C667" s="398" t="s">
        <v>607</v>
      </c>
      <c r="D667" s="399" t="s">
        <v>391</v>
      </c>
      <c r="E667" s="490"/>
      <c r="F667" s="385"/>
      <c r="G667" s="385"/>
      <c r="H667" s="385" t="s">
        <v>679</v>
      </c>
      <c r="I667" s="385" t="s">
        <v>163</v>
      </c>
      <c r="J667" s="489" t="s">
        <v>366</v>
      </c>
      <c r="K667" s="412"/>
      <c r="L667" s="412"/>
      <c r="M667" s="490" t="s">
        <v>37</v>
      </c>
      <c r="N667" s="490">
        <v>1</v>
      </c>
    </row>
    <row r="668" spans="1:130" hidden="1" outlineLevel="2">
      <c r="A668" s="438"/>
      <c r="B668" s="490" t="s">
        <v>237</v>
      </c>
      <c r="C668" s="398" t="s">
        <v>607</v>
      </c>
      <c r="D668" s="399" t="s">
        <v>391</v>
      </c>
      <c r="E668" s="490"/>
      <c r="F668" s="385"/>
      <c r="G668" s="385"/>
      <c r="H668" s="385" t="s">
        <v>680</v>
      </c>
      <c r="I668" s="385" t="s">
        <v>463</v>
      </c>
      <c r="J668" s="489" t="s">
        <v>366</v>
      </c>
      <c r="K668" s="412"/>
      <c r="L668" s="412"/>
      <c r="M668" s="490" t="s">
        <v>37</v>
      </c>
      <c r="N668" s="490">
        <v>6</v>
      </c>
    </row>
    <row r="669" spans="1:130" ht="40.5" hidden="1" outlineLevel="2">
      <c r="A669" s="438"/>
      <c r="B669" s="490" t="s">
        <v>237</v>
      </c>
      <c r="C669" s="398" t="s">
        <v>607</v>
      </c>
      <c r="D669" s="399" t="s">
        <v>391</v>
      </c>
      <c r="E669" s="490"/>
      <c r="F669" s="385"/>
      <c r="G669" s="385"/>
      <c r="H669" s="385" t="s">
        <v>681</v>
      </c>
      <c r="I669" s="385" t="s">
        <v>491</v>
      </c>
      <c r="J669" s="489" t="s">
        <v>366</v>
      </c>
      <c r="K669" s="412"/>
      <c r="L669" s="412"/>
      <c r="M669" s="490" t="s">
        <v>37</v>
      </c>
      <c r="N669" s="490">
        <v>8</v>
      </c>
    </row>
    <row r="670" spans="1:130" hidden="1" outlineLevel="2">
      <c r="A670" s="438"/>
      <c r="B670" s="490" t="s">
        <v>237</v>
      </c>
      <c r="C670" s="398" t="s">
        <v>607</v>
      </c>
      <c r="D670" s="399" t="s">
        <v>391</v>
      </c>
      <c r="E670" s="490"/>
      <c r="F670" s="385"/>
      <c r="G670" s="385"/>
      <c r="H670" s="385" t="s">
        <v>627</v>
      </c>
      <c r="I670" s="385" t="s">
        <v>625</v>
      </c>
      <c r="J670" s="489" t="s">
        <v>366</v>
      </c>
      <c r="K670" s="412"/>
      <c r="L670" s="412"/>
      <c r="M670" s="490" t="s">
        <v>37</v>
      </c>
      <c r="N670" s="490">
        <v>6</v>
      </c>
    </row>
    <row r="671" spans="1:130" s="405" customFormat="1" ht="101.25" outlineLevel="1" collapsed="1">
      <c r="A671" s="489" t="s">
        <v>1761</v>
      </c>
      <c r="B671" s="490" t="s">
        <v>237</v>
      </c>
      <c r="C671" s="398" t="s">
        <v>607</v>
      </c>
      <c r="D671" s="399" t="s">
        <v>391</v>
      </c>
      <c r="E671" s="490" t="s">
        <v>682</v>
      </c>
      <c r="F671" s="385" t="s">
        <v>810</v>
      </c>
      <c r="G671" s="385"/>
      <c r="H671" s="401" t="s">
        <v>683</v>
      </c>
      <c r="I671" s="385" t="str">
        <f>CONCATENATE(I672," ","(",H672,")","-",N672," ",M672," ",I673,"  ","(",H673,")","-",N673," ",M673," ",I674,"  ","(",H674,")","-",N674," ",M674," ",I675," ","(",H675,")","-",N675," ",M675)</f>
        <v>Ремонт разъединителя 110 кВ (ЗНШМ-110  1Т)-1 шт. Ремонт ОПН, разрядников 35 кВ  (ОПН 0 1Т)-1 шт. Ремонт выключателя 6-10 кВ  (В 10 1Т яч.7, Тип ВМГ-133)-1 шт. Ремонт выключателя 110 кВ (В 110 1Т, В 110 С-35)-2 шт.</v>
      </c>
      <c r="J671" s="489" t="s">
        <v>366</v>
      </c>
      <c r="K671" s="450">
        <v>44378</v>
      </c>
      <c r="L671" s="450">
        <v>44469</v>
      </c>
      <c r="M671" s="490"/>
      <c r="N671" s="490"/>
      <c r="O671" s="493"/>
      <c r="P671" s="493"/>
      <c r="Q671" s="493"/>
      <c r="R671" s="493"/>
      <c r="S671" s="493"/>
      <c r="T671" s="493"/>
      <c r="U671" s="493"/>
      <c r="V671" s="493"/>
      <c r="W671" s="493"/>
      <c r="X671" s="493"/>
      <c r="Y671" s="493"/>
      <c r="Z671" s="493"/>
      <c r="AA671" s="493"/>
      <c r="AB671" s="493"/>
      <c r="AC671" s="493"/>
      <c r="AD671" s="493"/>
      <c r="AE671" s="493"/>
      <c r="AF671" s="493"/>
      <c r="AG671" s="493"/>
      <c r="AH671" s="493"/>
      <c r="AI671" s="493"/>
      <c r="AJ671" s="493"/>
      <c r="AK671" s="493"/>
      <c r="AL671" s="493"/>
      <c r="AM671" s="493"/>
      <c r="AN671" s="493"/>
      <c r="AO671" s="493"/>
      <c r="AP671" s="493"/>
      <c r="AQ671" s="493"/>
      <c r="AR671" s="493"/>
      <c r="AS671" s="493"/>
      <c r="AT671" s="493"/>
      <c r="AU671" s="493"/>
      <c r="AV671" s="493"/>
      <c r="AW671" s="493"/>
      <c r="AX671" s="493"/>
      <c r="AY671" s="493"/>
      <c r="AZ671" s="493"/>
      <c r="BA671" s="493"/>
      <c r="BB671" s="493"/>
      <c r="BC671" s="493"/>
      <c r="BD671" s="493"/>
      <c r="BE671" s="493"/>
      <c r="BF671" s="493"/>
      <c r="BG671" s="493"/>
      <c r="BH671" s="493"/>
      <c r="BI671" s="493"/>
      <c r="BJ671" s="493"/>
      <c r="BK671" s="493"/>
      <c r="BL671" s="493"/>
      <c r="BM671" s="493"/>
      <c r="BN671" s="493"/>
      <c r="BO671" s="493"/>
      <c r="BP671" s="493"/>
      <c r="BQ671" s="493"/>
      <c r="BR671" s="493"/>
      <c r="BS671" s="493"/>
      <c r="BT671" s="493"/>
      <c r="BU671" s="493"/>
      <c r="BV671" s="493"/>
      <c r="BW671" s="493"/>
      <c r="BX671" s="493"/>
      <c r="BY671" s="493"/>
      <c r="BZ671" s="493"/>
      <c r="CA671" s="493"/>
      <c r="CB671" s="493"/>
      <c r="CC671" s="493"/>
      <c r="CD671" s="493"/>
      <c r="CE671" s="493"/>
      <c r="CF671" s="493"/>
      <c r="CG671" s="493"/>
      <c r="CH671" s="493"/>
      <c r="CI671" s="493"/>
      <c r="CJ671" s="493"/>
      <c r="CK671" s="493"/>
      <c r="CL671" s="493"/>
      <c r="CM671" s="493"/>
      <c r="CN671" s="493"/>
      <c r="CO671" s="493"/>
      <c r="CP671" s="493"/>
      <c r="CQ671" s="493"/>
      <c r="CR671" s="493"/>
      <c r="CS671" s="493"/>
      <c r="CT671" s="493"/>
      <c r="CU671" s="493"/>
      <c r="CV671" s="493"/>
      <c r="CW671" s="493"/>
      <c r="CX671" s="493"/>
      <c r="CY671" s="493"/>
      <c r="CZ671" s="493"/>
      <c r="DA671" s="493"/>
      <c r="DB671" s="493"/>
      <c r="DC671" s="493"/>
      <c r="DD671" s="493"/>
      <c r="DE671" s="493"/>
      <c r="DF671" s="493"/>
      <c r="DG671" s="493"/>
      <c r="DH671" s="493"/>
      <c r="DI671" s="493"/>
      <c r="DJ671" s="493"/>
      <c r="DK671" s="493"/>
      <c r="DL671" s="493"/>
      <c r="DM671" s="493"/>
      <c r="DN671" s="493"/>
      <c r="DO671" s="493"/>
      <c r="DP671" s="493"/>
      <c r="DQ671" s="493"/>
      <c r="DR671" s="493"/>
      <c r="DS671" s="493"/>
      <c r="DT671" s="493"/>
      <c r="DU671" s="493"/>
      <c r="DV671" s="493"/>
      <c r="DW671" s="493"/>
      <c r="DX671" s="493"/>
      <c r="DY671" s="493"/>
      <c r="DZ671" s="493"/>
    </row>
    <row r="672" spans="1:130" hidden="1" outlineLevel="2">
      <c r="A672" s="438"/>
      <c r="B672" s="490" t="s">
        <v>237</v>
      </c>
      <c r="C672" s="398" t="s">
        <v>607</v>
      </c>
      <c r="D672" s="399" t="s">
        <v>391</v>
      </c>
      <c r="E672" s="490"/>
      <c r="F672" s="385"/>
      <c r="G672" s="385"/>
      <c r="H672" s="385" t="s">
        <v>685</v>
      </c>
      <c r="I672" s="385" t="s">
        <v>469</v>
      </c>
      <c r="J672" s="489" t="s">
        <v>366</v>
      </c>
      <c r="K672" s="412"/>
      <c r="L672" s="412"/>
      <c r="M672" s="490" t="s">
        <v>37</v>
      </c>
      <c r="N672" s="490">
        <v>1</v>
      </c>
    </row>
    <row r="673" spans="1:130" hidden="1" outlineLevel="2">
      <c r="A673" s="438"/>
      <c r="B673" s="490" t="s">
        <v>237</v>
      </c>
      <c r="C673" s="398" t="s">
        <v>607</v>
      </c>
      <c r="D673" s="399" t="s">
        <v>391</v>
      </c>
      <c r="E673" s="490"/>
      <c r="F673" s="385"/>
      <c r="G673" s="385"/>
      <c r="H673" s="385" t="s">
        <v>686</v>
      </c>
      <c r="I673" s="385" t="s">
        <v>491</v>
      </c>
      <c r="J673" s="489" t="s">
        <v>366</v>
      </c>
      <c r="K673" s="412"/>
      <c r="L673" s="412"/>
      <c r="M673" s="490" t="s">
        <v>37</v>
      </c>
      <c r="N673" s="490">
        <v>1</v>
      </c>
    </row>
    <row r="674" spans="1:130" hidden="1" outlineLevel="2">
      <c r="A674" s="438"/>
      <c r="B674" s="490" t="s">
        <v>237</v>
      </c>
      <c r="C674" s="398" t="s">
        <v>607</v>
      </c>
      <c r="D674" s="399" t="s">
        <v>391</v>
      </c>
      <c r="E674" s="490"/>
      <c r="F674" s="385"/>
      <c r="G674" s="385"/>
      <c r="H674" s="385" t="s">
        <v>687</v>
      </c>
      <c r="I674" s="385" t="s">
        <v>644</v>
      </c>
      <c r="J674" s="489" t="s">
        <v>366</v>
      </c>
      <c r="K674" s="412"/>
      <c r="L674" s="412"/>
      <c r="M674" s="490" t="s">
        <v>37</v>
      </c>
      <c r="N674" s="490">
        <v>1</v>
      </c>
    </row>
    <row r="675" spans="1:130" hidden="1" outlineLevel="2">
      <c r="A675" s="438"/>
      <c r="B675" s="490" t="s">
        <v>237</v>
      </c>
      <c r="C675" s="398" t="s">
        <v>607</v>
      </c>
      <c r="D675" s="399" t="s">
        <v>391</v>
      </c>
      <c r="E675" s="490"/>
      <c r="F675" s="385"/>
      <c r="G675" s="385"/>
      <c r="H675" s="385" t="s">
        <v>688</v>
      </c>
      <c r="I675" s="385" t="s">
        <v>684</v>
      </c>
      <c r="J675" s="489" t="s">
        <v>366</v>
      </c>
      <c r="K675" s="412"/>
      <c r="L675" s="412"/>
      <c r="M675" s="490" t="s">
        <v>37</v>
      </c>
      <c r="N675" s="490">
        <v>2</v>
      </c>
    </row>
    <row r="676" spans="1:130" s="405" customFormat="1" ht="101.25" outlineLevel="1" collapsed="1">
      <c r="A676" s="489" t="s">
        <v>1762</v>
      </c>
      <c r="B676" s="490" t="s">
        <v>237</v>
      </c>
      <c r="C676" s="398" t="s">
        <v>607</v>
      </c>
      <c r="D676" s="399" t="s">
        <v>391</v>
      </c>
      <c r="E676" s="490" t="s">
        <v>689</v>
      </c>
      <c r="F676" s="385" t="s">
        <v>810</v>
      </c>
      <c r="G676" s="385"/>
      <c r="H676" s="401" t="s">
        <v>690</v>
      </c>
      <c r="I676" s="385" t="str">
        <f>CONCATENATE(I677," ","(",H677,")","-",N677," ",M677," ",I678,"  ","(",H678,")","-",N678," ",M678," ",I679,"  ","(",H679,")","-",N679," ",M679," ",I680," ","(",H680,")","-",N680," ",M680)</f>
        <v>Ремонт трансформаторов 110 кВ (1Т зав №25711)-1 шт. Ремонт разъединителя 110 кВ  (ЗНШМ 110  )-1 шт. Ремонт ОПН, разрядников 35 кВ  (ОПН 0 1Т, ОПН 35 1Т)-2 шт. Ремонт трансформатора напряжения 6-10 кВ (ТН 10 яч.10 )-1 шт.</v>
      </c>
      <c r="J676" s="489" t="s">
        <v>366</v>
      </c>
      <c r="K676" s="450">
        <v>44378</v>
      </c>
      <c r="L676" s="450">
        <v>44469</v>
      </c>
      <c r="M676" s="490"/>
      <c r="N676" s="490"/>
      <c r="O676" s="493"/>
      <c r="P676" s="493"/>
      <c r="Q676" s="493"/>
      <c r="R676" s="493"/>
      <c r="S676" s="493"/>
      <c r="T676" s="493"/>
      <c r="U676" s="493"/>
      <c r="V676" s="493"/>
      <c r="W676" s="493"/>
      <c r="X676" s="493"/>
      <c r="Y676" s="493"/>
      <c r="Z676" s="493"/>
      <c r="AA676" s="493"/>
      <c r="AB676" s="493"/>
      <c r="AC676" s="493"/>
      <c r="AD676" s="493"/>
      <c r="AE676" s="493"/>
      <c r="AF676" s="493"/>
      <c r="AG676" s="493"/>
      <c r="AH676" s="493"/>
      <c r="AI676" s="493"/>
      <c r="AJ676" s="493"/>
      <c r="AK676" s="493"/>
      <c r="AL676" s="493"/>
      <c r="AM676" s="493"/>
      <c r="AN676" s="493"/>
      <c r="AO676" s="493"/>
      <c r="AP676" s="493"/>
      <c r="AQ676" s="493"/>
      <c r="AR676" s="493"/>
      <c r="AS676" s="493"/>
      <c r="AT676" s="493"/>
      <c r="AU676" s="493"/>
      <c r="AV676" s="493"/>
      <c r="AW676" s="493"/>
      <c r="AX676" s="493"/>
      <c r="AY676" s="493"/>
      <c r="AZ676" s="493"/>
      <c r="BA676" s="493"/>
      <c r="BB676" s="493"/>
      <c r="BC676" s="493"/>
      <c r="BD676" s="493"/>
      <c r="BE676" s="493"/>
      <c r="BF676" s="493"/>
      <c r="BG676" s="493"/>
      <c r="BH676" s="493"/>
      <c r="BI676" s="493"/>
      <c r="BJ676" s="493"/>
      <c r="BK676" s="493"/>
      <c r="BL676" s="493"/>
      <c r="BM676" s="493"/>
      <c r="BN676" s="493"/>
      <c r="BO676" s="493"/>
      <c r="BP676" s="493"/>
      <c r="BQ676" s="493"/>
      <c r="BR676" s="493"/>
      <c r="BS676" s="493"/>
      <c r="BT676" s="493"/>
      <c r="BU676" s="493"/>
      <c r="BV676" s="493"/>
      <c r="BW676" s="493"/>
      <c r="BX676" s="493"/>
      <c r="BY676" s="493"/>
      <c r="BZ676" s="493"/>
      <c r="CA676" s="493"/>
      <c r="CB676" s="493"/>
      <c r="CC676" s="493"/>
      <c r="CD676" s="493"/>
      <c r="CE676" s="493"/>
      <c r="CF676" s="493"/>
      <c r="CG676" s="493"/>
      <c r="CH676" s="493"/>
      <c r="CI676" s="493"/>
      <c r="CJ676" s="493"/>
      <c r="CK676" s="493"/>
      <c r="CL676" s="493"/>
      <c r="CM676" s="493"/>
      <c r="CN676" s="493"/>
      <c r="CO676" s="493"/>
      <c r="CP676" s="493"/>
      <c r="CQ676" s="493"/>
      <c r="CR676" s="493"/>
      <c r="CS676" s="493"/>
      <c r="CT676" s="493"/>
      <c r="CU676" s="493"/>
      <c r="CV676" s="493"/>
      <c r="CW676" s="493"/>
      <c r="CX676" s="493"/>
      <c r="CY676" s="493"/>
      <c r="CZ676" s="493"/>
      <c r="DA676" s="493"/>
      <c r="DB676" s="493"/>
      <c r="DC676" s="493"/>
      <c r="DD676" s="493"/>
      <c r="DE676" s="493"/>
      <c r="DF676" s="493"/>
      <c r="DG676" s="493"/>
      <c r="DH676" s="493"/>
      <c r="DI676" s="493"/>
      <c r="DJ676" s="493"/>
      <c r="DK676" s="493"/>
      <c r="DL676" s="493"/>
      <c r="DM676" s="493"/>
      <c r="DN676" s="493"/>
      <c r="DO676" s="493"/>
      <c r="DP676" s="493"/>
      <c r="DQ676" s="493"/>
      <c r="DR676" s="493"/>
      <c r="DS676" s="493"/>
      <c r="DT676" s="493"/>
      <c r="DU676" s="493"/>
      <c r="DV676" s="493"/>
      <c r="DW676" s="493"/>
      <c r="DX676" s="493"/>
      <c r="DY676" s="493"/>
      <c r="DZ676" s="493"/>
    </row>
    <row r="677" spans="1:130" hidden="1" outlineLevel="2">
      <c r="A677" s="438"/>
      <c r="B677" s="490" t="s">
        <v>237</v>
      </c>
      <c r="C677" s="398" t="s">
        <v>607</v>
      </c>
      <c r="D677" s="399" t="s">
        <v>391</v>
      </c>
      <c r="E677" s="490"/>
      <c r="F677" s="385"/>
      <c r="G677" s="385"/>
      <c r="H677" s="385" t="s">
        <v>691</v>
      </c>
      <c r="I677" s="385" t="s">
        <v>156</v>
      </c>
      <c r="J677" s="489" t="s">
        <v>366</v>
      </c>
      <c r="K677" s="412"/>
      <c r="L677" s="412"/>
      <c r="M677" s="490" t="s">
        <v>37</v>
      </c>
      <c r="N677" s="490">
        <v>1</v>
      </c>
    </row>
    <row r="678" spans="1:130" hidden="1" outlineLevel="2">
      <c r="A678" s="438"/>
      <c r="B678" s="490" t="s">
        <v>237</v>
      </c>
      <c r="C678" s="398" t="s">
        <v>607</v>
      </c>
      <c r="D678" s="399" t="s">
        <v>391</v>
      </c>
      <c r="E678" s="490"/>
      <c r="F678" s="385"/>
      <c r="G678" s="385"/>
      <c r="H678" s="385" t="s">
        <v>692</v>
      </c>
      <c r="I678" s="385" t="s">
        <v>469</v>
      </c>
      <c r="J678" s="489" t="s">
        <v>366</v>
      </c>
      <c r="K678" s="412"/>
      <c r="L678" s="412"/>
      <c r="M678" s="490" t="s">
        <v>37</v>
      </c>
      <c r="N678" s="490">
        <v>1</v>
      </c>
    </row>
    <row r="679" spans="1:130" hidden="1" outlineLevel="2">
      <c r="A679" s="438"/>
      <c r="B679" s="490" t="s">
        <v>237</v>
      </c>
      <c r="C679" s="398" t="s">
        <v>607</v>
      </c>
      <c r="D679" s="399" t="s">
        <v>391</v>
      </c>
      <c r="E679" s="490"/>
      <c r="F679" s="385"/>
      <c r="G679" s="385"/>
      <c r="H679" s="385" t="s">
        <v>693</v>
      </c>
      <c r="I679" s="385" t="s">
        <v>491</v>
      </c>
      <c r="J679" s="489" t="s">
        <v>366</v>
      </c>
      <c r="K679" s="412"/>
      <c r="L679" s="412"/>
      <c r="M679" s="490" t="s">
        <v>37</v>
      </c>
      <c r="N679" s="490">
        <v>2</v>
      </c>
    </row>
    <row r="680" spans="1:130" hidden="1" outlineLevel="2">
      <c r="A680" s="438"/>
      <c r="B680" s="490" t="s">
        <v>237</v>
      </c>
      <c r="C680" s="398" t="s">
        <v>607</v>
      </c>
      <c r="D680" s="399" t="s">
        <v>391</v>
      </c>
      <c r="E680" s="490"/>
      <c r="F680" s="385"/>
      <c r="G680" s="385"/>
      <c r="H680" s="385" t="s">
        <v>694</v>
      </c>
      <c r="I680" s="385" t="s">
        <v>3374</v>
      </c>
      <c r="J680" s="489" t="s">
        <v>366</v>
      </c>
      <c r="K680" s="412"/>
      <c r="L680" s="412"/>
      <c r="M680" s="490" t="s">
        <v>37</v>
      </c>
      <c r="N680" s="490">
        <v>1</v>
      </c>
    </row>
    <row r="681" spans="1:130" s="405" customFormat="1" ht="162" outlineLevel="1" collapsed="1">
      <c r="A681" s="489" t="s">
        <v>1766</v>
      </c>
      <c r="B681" s="490" t="s">
        <v>237</v>
      </c>
      <c r="C681" s="398" t="s">
        <v>607</v>
      </c>
      <c r="D681" s="399" t="s">
        <v>391</v>
      </c>
      <c r="E681" s="490" t="s">
        <v>657</v>
      </c>
      <c r="F681" s="385" t="s">
        <v>810</v>
      </c>
      <c r="G681" s="385"/>
      <c r="H681" s="401" t="s">
        <v>658</v>
      </c>
      <c r="I681" s="385" t="str">
        <f>CONCATENATE(I682," ","(",H682,")","-",N682," ",M682," ",I683,"  ","(",H683,")","-",N683," ",M683," ",I684,"  ","(",H684,")","-",N684," ",M684," ",I685," ","(",H685,")","-",N685," ",M685," ",I687," ","(",H687,")","-",N687," ",M687," ",I686," ","(",H686,")","-",N686," ",M686)</f>
        <v>Ремонт трансформаторов 110 кВ (2Т ТДТН-16000 зав.№ 4097)-1 шт. Ремонт ОПН, разрядников 110 кВ  (ОПН 110 1с, ОПН 110 2с)-6 шт. Ремонт ОПН, разрядников 35 кВ  (ОПН 35 1с, ОПН 35 2с, ОПН 0 1Т, ОПН 0 2Т)-8 шт. Ремонт выключателя 35 кВ (В 35 Т-71)-1 шт. Ремонт разъединителя 110 кВ (ШР 35 ТН 1с)-1 шт. Ремонт заземлителя 110 кВ (ЗОН-110М 1Т, 2Т)-2 шт.</v>
      </c>
      <c r="J681" s="489" t="s">
        <v>366</v>
      </c>
      <c r="K681" s="450">
        <v>44378</v>
      </c>
      <c r="L681" s="450">
        <v>44408</v>
      </c>
      <c r="M681" s="490"/>
      <c r="N681" s="490"/>
      <c r="O681" s="493"/>
      <c r="P681" s="493"/>
      <c r="Q681" s="493"/>
      <c r="R681" s="493"/>
      <c r="S681" s="493"/>
      <c r="T681" s="493"/>
      <c r="U681" s="493"/>
      <c r="V681" s="493"/>
      <c r="W681" s="493"/>
      <c r="X681" s="493"/>
      <c r="Y681" s="493"/>
      <c r="Z681" s="493"/>
      <c r="AA681" s="493"/>
      <c r="AB681" s="493"/>
      <c r="AC681" s="493"/>
      <c r="AD681" s="493"/>
      <c r="AE681" s="493"/>
      <c r="AF681" s="493"/>
      <c r="AG681" s="493"/>
      <c r="AH681" s="493"/>
      <c r="AI681" s="493"/>
      <c r="AJ681" s="493"/>
      <c r="AK681" s="493"/>
      <c r="AL681" s="493"/>
      <c r="AM681" s="493"/>
      <c r="AN681" s="493"/>
      <c r="AO681" s="493"/>
      <c r="AP681" s="493"/>
      <c r="AQ681" s="493"/>
      <c r="AR681" s="493"/>
      <c r="AS681" s="493"/>
      <c r="AT681" s="493"/>
      <c r="AU681" s="493"/>
      <c r="AV681" s="493"/>
      <c r="AW681" s="493"/>
      <c r="AX681" s="493"/>
      <c r="AY681" s="493"/>
      <c r="AZ681" s="493"/>
      <c r="BA681" s="493"/>
      <c r="BB681" s="493"/>
      <c r="BC681" s="493"/>
      <c r="BD681" s="493"/>
      <c r="BE681" s="493"/>
      <c r="BF681" s="493"/>
      <c r="BG681" s="493"/>
      <c r="BH681" s="493"/>
      <c r="BI681" s="493"/>
      <c r="BJ681" s="493"/>
      <c r="BK681" s="493"/>
      <c r="BL681" s="493"/>
      <c r="BM681" s="493"/>
      <c r="BN681" s="493"/>
      <c r="BO681" s="493"/>
      <c r="BP681" s="493"/>
      <c r="BQ681" s="493"/>
      <c r="BR681" s="493"/>
      <c r="BS681" s="493"/>
      <c r="BT681" s="493"/>
      <c r="BU681" s="493"/>
      <c r="BV681" s="493"/>
      <c r="BW681" s="493"/>
      <c r="BX681" s="493"/>
      <c r="BY681" s="493"/>
      <c r="BZ681" s="493"/>
      <c r="CA681" s="493"/>
      <c r="CB681" s="493"/>
      <c r="CC681" s="493"/>
      <c r="CD681" s="493"/>
      <c r="CE681" s="493"/>
      <c r="CF681" s="493"/>
      <c r="CG681" s="493"/>
      <c r="CH681" s="493"/>
      <c r="CI681" s="493"/>
      <c r="CJ681" s="493"/>
      <c r="CK681" s="493"/>
      <c r="CL681" s="493"/>
      <c r="CM681" s="493"/>
      <c r="CN681" s="493"/>
      <c r="CO681" s="493"/>
      <c r="CP681" s="493"/>
      <c r="CQ681" s="493"/>
      <c r="CR681" s="493"/>
      <c r="CS681" s="493"/>
      <c r="CT681" s="493"/>
      <c r="CU681" s="493"/>
      <c r="CV681" s="493"/>
      <c r="CW681" s="493"/>
      <c r="CX681" s="493"/>
      <c r="CY681" s="493"/>
      <c r="CZ681" s="493"/>
      <c r="DA681" s="493"/>
      <c r="DB681" s="493"/>
      <c r="DC681" s="493"/>
      <c r="DD681" s="493"/>
      <c r="DE681" s="493"/>
      <c r="DF681" s="493"/>
      <c r="DG681" s="493"/>
      <c r="DH681" s="493"/>
      <c r="DI681" s="493"/>
      <c r="DJ681" s="493"/>
      <c r="DK681" s="493"/>
      <c r="DL681" s="493"/>
      <c r="DM681" s="493"/>
      <c r="DN681" s="493"/>
      <c r="DO681" s="493"/>
      <c r="DP681" s="493"/>
      <c r="DQ681" s="493"/>
      <c r="DR681" s="493"/>
      <c r="DS681" s="493"/>
      <c r="DT681" s="493"/>
      <c r="DU681" s="493"/>
      <c r="DV681" s="493"/>
      <c r="DW681" s="493"/>
      <c r="DX681" s="493"/>
      <c r="DY681" s="493"/>
      <c r="DZ681" s="493"/>
    </row>
    <row r="682" spans="1:130" hidden="1" outlineLevel="2">
      <c r="A682" s="438"/>
      <c r="B682" s="490" t="s">
        <v>237</v>
      </c>
      <c r="C682" s="398" t="s">
        <v>607</v>
      </c>
      <c r="D682" s="399" t="s">
        <v>391</v>
      </c>
      <c r="E682" s="490"/>
      <c r="F682" s="385"/>
      <c r="G682" s="385"/>
      <c r="H682" s="385" t="s">
        <v>659</v>
      </c>
      <c r="I682" s="385" t="s">
        <v>156</v>
      </c>
      <c r="J682" s="489" t="s">
        <v>366</v>
      </c>
      <c r="K682" s="412"/>
      <c r="L682" s="412"/>
      <c r="M682" s="490" t="s">
        <v>37</v>
      </c>
      <c r="N682" s="490">
        <v>1</v>
      </c>
    </row>
    <row r="683" spans="1:130" hidden="1" outlineLevel="2">
      <c r="A683" s="438"/>
      <c r="B683" s="490" t="s">
        <v>237</v>
      </c>
      <c r="C683" s="398" t="s">
        <v>607</v>
      </c>
      <c r="D683" s="399" t="s">
        <v>391</v>
      </c>
      <c r="E683" s="490"/>
      <c r="F683" s="385"/>
      <c r="G683" s="385"/>
      <c r="H683" s="385" t="s">
        <v>660</v>
      </c>
      <c r="I683" s="385" t="s">
        <v>463</v>
      </c>
      <c r="J683" s="489" t="s">
        <v>366</v>
      </c>
      <c r="K683" s="412"/>
      <c r="L683" s="412"/>
      <c r="M683" s="490" t="s">
        <v>37</v>
      </c>
      <c r="N683" s="490">
        <v>6</v>
      </c>
    </row>
    <row r="684" spans="1:130" ht="40.5" hidden="1" outlineLevel="2">
      <c r="A684" s="438"/>
      <c r="B684" s="490" t="s">
        <v>237</v>
      </c>
      <c r="C684" s="398" t="s">
        <v>607</v>
      </c>
      <c r="D684" s="399" t="s">
        <v>391</v>
      </c>
      <c r="E684" s="490"/>
      <c r="F684" s="385"/>
      <c r="G684" s="385"/>
      <c r="H684" s="385" t="s">
        <v>661</v>
      </c>
      <c r="I684" s="385" t="s">
        <v>491</v>
      </c>
      <c r="J684" s="489" t="s">
        <v>366</v>
      </c>
      <c r="K684" s="412"/>
      <c r="L684" s="412"/>
      <c r="M684" s="490" t="s">
        <v>37</v>
      </c>
      <c r="N684" s="490">
        <v>8</v>
      </c>
    </row>
    <row r="685" spans="1:130" hidden="1" outlineLevel="2">
      <c r="A685" s="438"/>
      <c r="B685" s="490" t="s">
        <v>237</v>
      </c>
      <c r="C685" s="398" t="s">
        <v>607</v>
      </c>
      <c r="D685" s="399" t="s">
        <v>391</v>
      </c>
      <c r="E685" s="490"/>
      <c r="F685" s="385"/>
      <c r="G685" s="385"/>
      <c r="H685" s="385" t="s">
        <v>662</v>
      </c>
      <c r="I685" s="385" t="s">
        <v>598</v>
      </c>
      <c r="J685" s="489" t="s">
        <v>366</v>
      </c>
      <c r="K685" s="412"/>
      <c r="L685" s="412"/>
      <c r="M685" s="490" t="s">
        <v>37</v>
      </c>
      <c r="N685" s="490">
        <v>1</v>
      </c>
    </row>
    <row r="686" spans="1:130" hidden="1" outlineLevel="2">
      <c r="A686" s="438"/>
      <c r="B686" s="490" t="s">
        <v>237</v>
      </c>
      <c r="C686" s="398" t="s">
        <v>607</v>
      </c>
      <c r="D686" s="399" t="s">
        <v>391</v>
      </c>
      <c r="E686" s="490"/>
      <c r="F686" s="385"/>
      <c r="G686" s="385"/>
      <c r="H686" s="385" t="s">
        <v>663</v>
      </c>
      <c r="I686" s="385" t="s">
        <v>472</v>
      </c>
      <c r="J686" s="489" t="s">
        <v>366</v>
      </c>
      <c r="K686" s="412"/>
      <c r="L686" s="412"/>
      <c r="M686" s="490" t="s">
        <v>37</v>
      </c>
      <c r="N686" s="490">
        <v>2</v>
      </c>
    </row>
    <row r="687" spans="1:130" hidden="1" outlineLevel="2">
      <c r="A687" s="450"/>
      <c r="B687" s="490" t="s">
        <v>237</v>
      </c>
      <c r="C687" s="398" t="s">
        <v>607</v>
      </c>
      <c r="D687" s="399" t="s">
        <v>391</v>
      </c>
      <c r="E687" s="490"/>
      <c r="F687" s="385"/>
      <c r="G687" s="385"/>
      <c r="H687" s="385" t="s">
        <v>664</v>
      </c>
      <c r="I687" s="385" t="s">
        <v>469</v>
      </c>
      <c r="J687" s="489" t="s">
        <v>366</v>
      </c>
      <c r="K687" s="412"/>
      <c r="L687" s="412"/>
      <c r="M687" s="490" t="s">
        <v>37</v>
      </c>
      <c r="N687" s="490">
        <v>1</v>
      </c>
    </row>
    <row r="688" spans="1:130" s="405" customFormat="1" ht="60.75" outlineLevel="1" collapsed="1">
      <c r="A688" s="489" t="s">
        <v>3375</v>
      </c>
      <c r="B688" s="490" t="s">
        <v>237</v>
      </c>
      <c r="C688" s="398" t="s">
        <v>607</v>
      </c>
      <c r="D688" s="399" t="s">
        <v>391</v>
      </c>
      <c r="E688" s="490" t="s">
        <v>670</v>
      </c>
      <c r="F688" s="385" t="s">
        <v>810</v>
      </c>
      <c r="G688" s="385"/>
      <c r="H688" s="401" t="s">
        <v>671</v>
      </c>
      <c r="I688" s="385" t="str">
        <f>CONCATENATE(I689," ","(",H689,")","-",N689," ",M689," ",I690,"  ","(",H690,")","-",N690," ",M690," ",I691," ","(",H691,")","-",N691," ",M691)</f>
        <v>Ремонт трансформаторов 110 кВ (1Т)-1 шт. Ремонт ОПН, разрядников 110 кВ  (ОПН-110 1Т)-3 шт. Ремонт ОПН, разрядников 35 кВ (ОПН-0 1Т)-1 шт.</v>
      </c>
      <c r="J688" s="489" t="s">
        <v>366</v>
      </c>
      <c r="K688" s="450">
        <v>44409</v>
      </c>
      <c r="L688" s="450">
        <v>44439</v>
      </c>
      <c r="M688" s="490"/>
      <c r="N688" s="490"/>
      <c r="O688" s="493"/>
      <c r="P688" s="493"/>
      <c r="Q688" s="493"/>
      <c r="R688" s="493"/>
      <c r="S688" s="493"/>
      <c r="T688" s="493"/>
      <c r="U688" s="493"/>
      <c r="V688" s="493"/>
      <c r="W688" s="493"/>
      <c r="X688" s="493"/>
      <c r="Y688" s="493"/>
      <c r="Z688" s="493"/>
      <c r="AA688" s="493"/>
      <c r="AB688" s="493"/>
      <c r="AC688" s="493"/>
      <c r="AD688" s="493"/>
      <c r="AE688" s="493"/>
      <c r="AF688" s="493"/>
      <c r="AG688" s="493"/>
      <c r="AH688" s="493"/>
      <c r="AI688" s="493"/>
      <c r="AJ688" s="493"/>
      <c r="AK688" s="493"/>
      <c r="AL688" s="493"/>
      <c r="AM688" s="493"/>
      <c r="AN688" s="493"/>
      <c r="AO688" s="493"/>
      <c r="AP688" s="493"/>
      <c r="AQ688" s="493"/>
      <c r="AR688" s="493"/>
      <c r="AS688" s="493"/>
      <c r="AT688" s="493"/>
      <c r="AU688" s="493"/>
      <c r="AV688" s="493"/>
      <c r="AW688" s="493"/>
      <c r="AX688" s="493"/>
      <c r="AY688" s="493"/>
      <c r="AZ688" s="493"/>
      <c r="BA688" s="493"/>
      <c r="BB688" s="493"/>
      <c r="BC688" s="493"/>
      <c r="BD688" s="493"/>
      <c r="BE688" s="493"/>
      <c r="BF688" s="493"/>
      <c r="BG688" s="493"/>
      <c r="BH688" s="493"/>
      <c r="BI688" s="493"/>
      <c r="BJ688" s="493"/>
      <c r="BK688" s="493"/>
      <c r="BL688" s="493"/>
      <c r="BM688" s="493"/>
      <c r="BN688" s="493"/>
      <c r="BO688" s="493"/>
      <c r="BP688" s="493"/>
      <c r="BQ688" s="493"/>
      <c r="BR688" s="493"/>
      <c r="BS688" s="493"/>
      <c r="BT688" s="493"/>
      <c r="BU688" s="493"/>
      <c r="BV688" s="493"/>
      <c r="BW688" s="493"/>
      <c r="BX688" s="493"/>
      <c r="BY688" s="493"/>
      <c r="BZ688" s="493"/>
      <c r="CA688" s="493"/>
      <c r="CB688" s="493"/>
      <c r="CC688" s="493"/>
      <c r="CD688" s="493"/>
      <c r="CE688" s="493"/>
      <c r="CF688" s="493"/>
      <c r="CG688" s="493"/>
      <c r="CH688" s="493"/>
      <c r="CI688" s="493"/>
      <c r="CJ688" s="493"/>
      <c r="CK688" s="493"/>
      <c r="CL688" s="493"/>
      <c r="CM688" s="493"/>
      <c r="CN688" s="493"/>
      <c r="CO688" s="493"/>
      <c r="CP688" s="493"/>
      <c r="CQ688" s="493"/>
      <c r="CR688" s="493"/>
      <c r="CS688" s="493"/>
      <c r="CT688" s="493"/>
      <c r="CU688" s="493"/>
      <c r="CV688" s="493"/>
      <c r="CW688" s="493"/>
      <c r="CX688" s="493"/>
      <c r="CY688" s="493"/>
      <c r="CZ688" s="493"/>
      <c r="DA688" s="493"/>
      <c r="DB688" s="493"/>
      <c r="DC688" s="493"/>
      <c r="DD688" s="493"/>
      <c r="DE688" s="493"/>
      <c r="DF688" s="493"/>
      <c r="DG688" s="493"/>
      <c r="DH688" s="493"/>
      <c r="DI688" s="493"/>
      <c r="DJ688" s="493"/>
      <c r="DK688" s="493"/>
      <c r="DL688" s="493"/>
      <c r="DM688" s="493"/>
      <c r="DN688" s="493"/>
      <c r="DO688" s="493"/>
      <c r="DP688" s="493"/>
      <c r="DQ688" s="493"/>
      <c r="DR688" s="493"/>
      <c r="DS688" s="493"/>
      <c r="DT688" s="493"/>
      <c r="DU688" s="493"/>
      <c r="DV688" s="493"/>
      <c r="DW688" s="493"/>
      <c r="DX688" s="493"/>
      <c r="DY688" s="493"/>
      <c r="DZ688" s="493"/>
    </row>
    <row r="689" spans="1:130" hidden="1" outlineLevel="2">
      <c r="A689" s="438"/>
      <c r="B689" s="490" t="s">
        <v>237</v>
      </c>
      <c r="C689" s="398" t="s">
        <v>607</v>
      </c>
      <c r="D689" s="399" t="s">
        <v>391</v>
      </c>
      <c r="E689" s="490"/>
      <c r="F689" s="385"/>
      <c r="G689" s="385"/>
      <c r="H689" s="385" t="s">
        <v>672</v>
      </c>
      <c r="I689" s="385" t="s">
        <v>156</v>
      </c>
      <c r="J689" s="489" t="s">
        <v>366</v>
      </c>
      <c r="K689" s="412"/>
      <c r="L689" s="412"/>
      <c r="M689" s="490" t="s">
        <v>37</v>
      </c>
      <c r="N689" s="490">
        <v>1</v>
      </c>
    </row>
    <row r="690" spans="1:130" hidden="1" outlineLevel="2">
      <c r="A690" s="438"/>
      <c r="B690" s="490" t="s">
        <v>237</v>
      </c>
      <c r="C690" s="398" t="s">
        <v>607</v>
      </c>
      <c r="D690" s="399" t="s">
        <v>391</v>
      </c>
      <c r="E690" s="490"/>
      <c r="F690" s="385"/>
      <c r="G690" s="385"/>
      <c r="H690" s="385" t="s">
        <v>673</v>
      </c>
      <c r="I690" s="385" t="s">
        <v>463</v>
      </c>
      <c r="J690" s="489" t="s">
        <v>366</v>
      </c>
      <c r="K690" s="412"/>
      <c r="L690" s="412"/>
      <c r="M690" s="490" t="s">
        <v>37</v>
      </c>
      <c r="N690" s="490">
        <v>3</v>
      </c>
    </row>
    <row r="691" spans="1:130" hidden="1" outlineLevel="2">
      <c r="A691" s="450"/>
      <c r="B691" s="490" t="s">
        <v>237</v>
      </c>
      <c r="C691" s="398" t="s">
        <v>607</v>
      </c>
      <c r="D691" s="399" t="s">
        <v>391</v>
      </c>
      <c r="E691" s="490"/>
      <c r="F691" s="385"/>
      <c r="G691" s="385"/>
      <c r="H691" s="385" t="s">
        <v>674</v>
      </c>
      <c r="I691" s="385" t="s">
        <v>491</v>
      </c>
      <c r="J691" s="489" t="s">
        <v>366</v>
      </c>
      <c r="K691" s="412"/>
      <c r="L691" s="412"/>
      <c r="M691" s="490" t="s">
        <v>37</v>
      </c>
      <c r="N691" s="490">
        <v>1</v>
      </c>
    </row>
    <row r="692" spans="1:130" s="384" customFormat="1" ht="49.5" customHeight="1" outlineLevel="1" collapsed="1">
      <c r="A692" s="489" t="s">
        <v>3376</v>
      </c>
      <c r="B692" s="490" t="s">
        <v>51</v>
      </c>
      <c r="C692" s="398" t="s">
        <v>559</v>
      </c>
      <c r="D692" s="399" t="s">
        <v>391</v>
      </c>
      <c r="E692" s="490" t="s">
        <v>1053</v>
      </c>
      <c r="F692" s="385" t="s">
        <v>810</v>
      </c>
      <c r="G692" s="385"/>
      <c r="H692" s="401" t="s">
        <v>784</v>
      </c>
      <c r="I692" s="385" t="s">
        <v>3781</v>
      </c>
      <c r="J692" s="489" t="s">
        <v>365</v>
      </c>
      <c r="K692" s="450">
        <v>44287</v>
      </c>
      <c r="L692" s="450">
        <v>44347</v>
      </c>
      <c r="M692" s="490"/>
      <c r="N692" s="490"/>
    </row>
    <row r="693" spans="1:130" hidden="1" outlineLevel="2">
      <c r="A693" s="575"/>
      <c r="B693" s="490" t="s">
        <v>51</v>
      </c>
      <c r="C693" s="398" t="s">
        <v>559</v>
      </c>
      <c r="D693" s="399" t="s">
        <v>391</v>
      </c>
      <c r="E693" s="385"/>
      <c r="F693" s="396"/>
      <c r="G693" s="385"/>
      <c r="H693" s="385" t="s">
        <v>1054</v>
      </c>
      <c r="I693" s="385" t="s">
        <v>3377</v>
      </c>
      <c r="J693" s="489" t="s">
        <v>365</v>
      </c>
      <c r="K693" s="412"/>
      <c r="L693" s="412"/>
      <c r="M693" s="490" t="s">
        <v>37</v>
      </c>
      <c r="N693" s="490">
        <v>9</v>
      </c>
    </row>
    <row r="694" spans="1:130" ht="60.75" hidden="1" outlineLevel="2">
      <c r="A694" s="577"/>
      <c r="B694" s="490" t="s">
        <v>51</v>
      </c>
      <c r="C694" s="398" t="s">
        <v>559</v>
      </c>
      <c r="D694" s="399" t="s">
        <v>391</v>
      </c>
      <c r="E694" s="385"/>
      <c r="F694" s="396"/>
      <c r="G694" s="385"/>
      <c r="H694" s="385" t="s">
        <v>1055</v>
      </c>
      <c r="I694" s="385" t="s">
        <v>3378</v>
      </c>
      <c r="J694" s="489" t="s">
        <v>365</v>
      </c>
      <c r="K694" s="412"/>
      <c r="L694" s="412"/>
      <c r="M694" s="490" t="s">
        <v>37</v>
      </c>
      <c r="N694" s="490">
        <v>2</v>
      </c>
    </row>
    <row r="695" spans="1:130" ht="60.75" hidden="1" outlineLevel="2">
      <c r="A695" s="576"/>
      <c r="B695" s="490" t="s">
        <v>51</v>
      </c>
      <c r="C695" s="398" t="s">
        <v>559</v>
      </c>
      <c r="D695" s="399" t="s">
        <v>391</v>
      </c>
      <c r="E695" s="385"/>
      <c r="F695" s="396"/>
      <c r="G695" s="385"/>
      <c r="H695" s="385" t="s">
        <v>1056</v>
      </c>
      <c r="I695" s="385" t="s">
        <v>3378</v>
      </c>
      <c r="J695" s="489" t="s">
        <v>365</v>
      </c>
      <c r="K695" s="412"/>
      <c r="L695" s="412"/>
      <c r="M695" s="490" t="s">
        <v>37</v>
      </c>
      <c r="N695" s="490">
        <v>5</v>
      </c>
    </row>
    <row r="696" spans="1:130" s="393" customFormat="1">
      <c r="A696" s="490" t="s">
        <v>330</v>
      </c>
      <c r="B696" s="490"/>
      <c r="C696" s="398"/>
      <c r="D696" s="399"/>
      <c r="E696" s="385"/>
      <c r="F696" s="400"/>
      <c r="G696" s="385"/>
      <c r="H696" s="539" t="s">
        <v>324</v>
      </c>
      <c r="I696" s="385"/>
      <c r="J696" s="489"/>
      <c r="K696" s="412"/>
      <c r="L696" s="412"/>
      <c r="M696" s="389"/>
      <c r="N696" s="390"/>
      <c r="O696" s="377"/>
      <c r="P696" s="377"/>
      <c r="Q696" s="377"/>
      <c r="R696" s="377"/>
      <c r="S696" s="377"/>
      <c r="T696" s="377"/>
      <c r="U696" s="377"/>
      <c r="V696" s="377"/>
      <c r="W696" s="377"/>
      <c r="X696" s="377"/>
      <c r="Y696" s="377"/>
      <c r="Z696" s="377"/>
      <c r="AA696" s="377"/>
      <c r="AB696" s="377"/>
      <c r="AC696" s="377"/>
      <c r="AD696" s="377"/>
      <c r="AE696" s="377"/>
      <c r="AF696" s="377"/>
      <c r="AG696" s="377"/>
      <c r="AH696" s="377"/>
      <c r="AI696" s="377"/>
      <c r="AJ696" s="377"/>
      <c r="AK696" s="377"/>
      <c r="AL696" s="377"/>
      <c r="AM696" s="377"/>
      <c r="AN696" s="377"/>
      <c r="AO696" s="377"/>
      <c r="AP696" s="377"/>
      <c r="AQ696" s="377"/>
      <c r="AR696" s="377"/>
      <c r="AS696" s="377"/>
      <c r="AT696" s="377"/>
      <c r="AU696" s="377"/>
      <c r="AV696" s="377"/>
      <c r="AW696" s="377"/>
      <c r="AX696" s="377"/>
      <c r="AY696" s="377"/>
      <c r="AZ696" s="377"/>
      <c r="BA696" s="377"/>
      <c r="BB696" s="377"/>
      <c r="BC696" s="377"/>
      <c r="BD696" s="377"/>
      <c r="BE696" s="377"/>
      <c r="BF696" s="377"/>
      <c r="BG696" s="377"/>
      <c r="BH696" s="377"/>
      <c r="BI696" s="377"/>
      <c r="BJ696" s="377"/>
      <c r="BK696" s="377"/>
      <c r="BL696" s="377"/>
      <c r="BM696" s="377"/>
      <c r="BN696" s="377"/>
      <c r="BO696" s="377"/>
      <c r="BP696" s="377"/>
      <c r="BQ696" s="377"/>
      <c r="BR696" s="377"/>
      <c r="BS696" s="377"/>
      <c r="BT696" s="377"/>
      <c r="BU696" s="377"/>
      <c r="BV696" s="377"/>
      <c r="BW696" s="377"/>
      <c r="BX696" s="377"/>
      <c r="BY696" s="377"/>
      <c r="BZ696" s="377"/>
      <c r="CA696" s="377"/>
      <c r="CB696" s="377"/>
      <c r="CC696" s="377"/>
      <c r="CD696" s="377"/>
      <c r="CE696" s="377"/>
      <c r="CF696" s="377"/>
      <c r="CG696" s="377"/>
      <c r="CH696" s="377"/>
      <c r="CI696" s="377"/>
      <c r="CJ696" s="377"/>
      <c r="CK696" s="377"/>
      <c r="CL696" s="377"/>
      <c r="CM696" s="377"/>
      <c r="CN696" s="377"/>
      <c r="CO696" s="377"/>
      <c r="CP696" s="377"/>
      <c r="CQ696" s="377"/>
      <c r="CR696" s="377"/>
      <c r="CS696" s="377"/>
      <c r="CT696" s="377"/>
      <c r="CU696" s="377"/>
      <c r="CV696" s="377"/>
      <c r="CW696" s="377"/>
      <c r="CX696" s="377"/>
      <c r="CY696" s="377"/>
      <c r="CZ696" s="377"/>
      <c r="DA696" s="377"/>
      <c r="DB696" s="377"/>
      <c r="DC696" s="377"/>
      <c r="DD696" s="377"/>
      <c r="DE696" s="377"/>
      <c r="DF696" s="377"/>
      <c r="DG696" s="377"/>
      <c r="DH696" s="377"/>
      <c r="DI696" s="377"/>
      <c r="DJ696" s="377"/>
      <c r="DK696" s="377"/>
      <c r="DL696" s="377"/>
      <c r="DM696" s="377"/>
      <c r="DN696" s="377"/>
      <c r="DO696" s="377"/>
      <c r="DP696" s="377"/>
      <c r="DQ696" s="377"/>
      <c r="DR696" s="377"/>
      <c r="DS696" s="377"/>
      <c r="DT696" s="377"/>
      <c r="DU696" s="377"/>
      <c r="DV696" s="377"/>
      <c r="DW696" s="377"/>
      <c r="DX696" s="377"/>
      <c r="DY696" s="377"/>
      <c r="DZ696" s="377"/>
    </row>
    <row r="697" spans="1:130" s="405" customFormat="1" ht="202.5" outlineLevel="1" collapsed="1">
      <c r="A697" s="489" t="s">
        <v>1361</v>
      </c>
      <c r="B697" s="490" t="s">
        <v>300</v>
      </c>
      <c r="C697" s="398" t="s">
        <v>408</v>
      </c>
      <c r="D697" s="399" t="s">
        <v>391</v>
      </c>
      <c r="E697" s="490" t="s">
        <v>512</v>
      </c>
      <c r="F697" s="385" t="s">
        <v>810</v>
      </c>
      <c r="G697" s="385"/>
      <c r="H697" s="401" t="s">
        <v>545</v>
      </c>
      <c r="I697" s="385" t="str">
        <f>CONCATENATE(I698," ","(",H698,")","-",N698," ",M698," ",I699,"  ","(",H699,")","-",N699," ",M699," ",I700," ","(",H700,")","-",N700," ",M700)</f>
        <v>Ремонт разъединителя 35 кВ (  ТР-35 1Т,ШР-35 1Т,ТР-35 2Т,ШР-35 2Т )-4 шт. Ремонт разъединителя 10 кВ  (ШР-10 ЯЧ.1,ЛР-10 ЯЧ.1,ШР-10 ЯЧ.2,ЛР-10 ЯЧ.2,ШР-10 1Т ЯЧ.3,   ТР-10 1Т ЯЧ.3,ШР-10 1ТСН-10 ЯЧ.4,ШР-10 ЯЧ.5,ЛР-10 ЯЧ.5,ШР-10 1ТН ЯЧ.6 , ЗН-10 ЯЧ.6,ШР-10 ЯЧ.7,ЛР-10 ЯЧ.7,СР-10 1С ЯЧ.8,СР-10 2С  ЯЧ.8,ШР-10 ЯЧ.9,ЛР-10 ЯЧ.9,ШР-10 2ТН ЯЧ.10 , ЗН ШР-10 2ТН ЯЧ.10,ШР-10 2ТСН-10 ЯЧ.12,ЛР-10 ЯЧ11,ШР-10 2ТСН-10,ШР-10 2Т ЯЧ.13 ,ТР-10 2Т ЯЧ.13)-24 шт. Замен изолятора проходного (ИПУ-10/630)-9 шт.</v>
      </c>
      <c r="J697" s="489" t="s">
        <v>365</v>
      </c>
      <c r="K697" s="450">
        <v>44378</v>
      </c>
      <c r="L697" s="412" t="s">
        <v>3724</v>
      </c>
      <c r="M697" s="490"/>
      <c r="N697" s="490"/>
      <c r="O697" s="493"/>
      <c r="P697" s="493"/>
      <c r="Q697" s="493"/>
      <c r="R697" s="493"/>
      <c r="S697" s="493"/>
      <c r="T697" s="493"/>
      <c r="U697" s="493"/>
      <c r="V697" s="493"/>
      <c r="W697" s="493"/>
      <c r="X697" s="493"/>
      <c r="Y697" s="493"/>
      <c r="Z697" s="493"/>
      <c r="AA697" s="493"/>
      <c r="AB697" s="493"/>
      <c r="AC697" s="493"/>
      <c r="AD697" s="493"/>
      <c r="AE697" s="493"/>
      <c r="AF697" s="493"/>
      <c r="AG697" s="493"/>
      <c r="AH697" s="493"/>
      <c r="AI697" s="493"/>
      <c r="AJ697" s="493"/>
      <c r="AK697" s="493"/>
      <c r="AL697" s="493"/>
      <c r="AM697" s="493"/>
      <c r="AN697" s="493"/>
      <c r="AO697" s="493"/>
      <c r="AP697" s="493"/>
      <c r="AQ697" s="493"/>
      <c r="AR697" s="493"/>
      <c r="AS697" s="493"/>
      <c r="AT697" s="493"/>
      <c r="AU697" s="493"/>
      <c r="AV697" s="493"/>
      <c r="AW697" s="493"/>
      <c r="AX697" s="493"/>
      <c r="AY697" s="493"/>
      <c r="AZ697" s="493"/>
      <c r="BA697" s="493"/>
      <c r="BB697" s="493"/>
      <c r="BC697" s="493"/>
      <c r="BD697" s="493"/>
      <c r="BE697" s="493"/>
      <c r="BF697" s="493"/>
      <c r="BG697" s="493"/>
      <c r="BH697" s="493"/>
      <c r="BI697" s="493"/>
      <c r="BJ697" s="493"/>
      <c r="BK697" s="493"/>
      <c r="BL697" s="493"/>
      <c r="BM697" s="493"/>
      <c r="BN697" s="493"/>
      <c r="BO697" s="493"/>
      <c r="BP697" s="493"/>
      <c r="BQ697" s="493"/>
      <c r="BR697" s="493"/>
      <c r="BS697" s="493"/>
      <c r="BT697" s="493"/>
      <c r="BU697" s="493"/>
      <c r="BV697" s="493"/>
      <c r="BW697" s="493"/>
      <c r="BX697" s="493"/>
      <c r="BY697" s="493"/>
      <c r="BZ697" s="493"/>
      <c r="CA697" s="493"/>
      <c r="CB697" s="493"/>
      <c r="CC697" s="493"/>
      <c r="CD697" s="493"/>
      <c r="CE697" s="493"/>
      <c r="CF697" s="493"/>
      <c r="CG697" s="493"/>
      <c r="CH697" s="493"/>
      <c r="CI697" s="493"/>
      <c r="CJ697" s="493"/>
      <c r="CK697" s="493"/>
      <c r="CL697" s="493"/>
      <c r="CM697" s="493"/>
      <c r="CN697" s="493"/>
      <c r="CO697" s="493"/>
      <c r="CP697" s="493"/>
      <c r="CQ697" s="493"/>
      <c r="CR697" s="493"/>
      <c r="CS697" s="493"/>
      <c r="CT697" s="493"/>
      <c r="CU697" s="493"/>
      <c r="CV697" s="493"/>
      <c r="CW697" s="493"/>
      <c r="CX697" s="493"/>
      <c r="CY697" s="493"/>
      <c r="CZ697" s="493"/>
      <c r="DA697" s="493"/>
      <c r="DB697" s="493"/>
      <c r="DC697" s="493"/>
      <c r="DD697" s="493"/>
      <c r="DE697" s="493"/>
      <c r="DF697" s="493"/>
      <c r="DG697" s="493"/>
      <c r="DH697" s="493"/>
      <c r="DI697" s="493"/>
      <c r="DJ697" s="493"/>
      <c r="DK697" s="493"/>
      <c r="DL697" s="493"/>
      <c r="DM697" s="493"/>
      <c r="DN697" s="493"/>
      <c r="DO697" s="493"/>
      <c r="DP697" s="493"/>
      <c r="DQ697" s="493"/>
      <c r="DR697" s="493"/>
      <c r="DS697" s="493"/>
      <c r="DT697" s="493"/>
      <c r="DU697" s="493"/>
      <c r="DV697" s="493"/>
      <c r="DW697" s="493"/>
      <c r="DX697" s="493"/>
      <c r="DY697" s="493"/>
      <c r="DZ697" s="493"/>
    </row>
    <row r="698" spans="1:130" ht="48.75" hidden="1" customHeight="1" outlineLevel="2">
      <c r="A698" s="438"/>
      <c r="B698" s="490" t="s">
        <v>300</v>
      </c>
      <c r="C698" s="398" t="s">
        <v>408</v>
      </c>
      <c r="D698" s="399" t="s">
        <v>391</v>
      </c>
      <c r="E698" s="490"/>
      <c r="F698" s="396"/>
      <c r="G698" s="385"/>
      <c r="H698" s="385" t="s">
        <v>515</v>
      </c>
      <c r="I698" s="385" t="s">
        <v>493</v>
      </c>
      <c r="J698" s="489" t="s">
        <v>365</v>
      </c>
      <c r="K698" s="412"/>
      <c r="L698" s="412"/>
      <c r="M698" s="490" t="s">
        <v>37</v>
      </c>
      <c r="N698" s="490">
        <v>4</v>
      </c>
    </row>
    <row r="699" spans="1:130" ht="186.75" hidden="1" customHeight="1" outlineLevel="2">
      <c r="A699" s="438"/>
      <c r="B699" s="490" t="s">
        <v>300</v>
      </c>
      <c r="C699" s="398" t="s">
        <v>408</v>
      </c>
      <c r="D699" s="399" t="s">
        <v>391</v>
      </c>
      <c r="E699" s="490"/>
      <c r="F699" s="396"/>
      <c r="G699" s="385"/>
      <c r="H699" s="385" t="s">
        <v>516</v>
      </c>
      <c r="I699" s="385" t="s">
        <v>513</v>
      </c>
      <c r="J699" s="489" t="s">
        <v>365</v>
      </c>
      <c r="K699" s="412"/>
      <c r="L699" s="412"/>
      <c r="M699" s="490" t="s">
        <v>37</v>
      </c>
      <c r="N699" s="490">
        <v>24</v>
      </c>
    </row>
    <row r="700" spans="1:130" ht="51" hidden="1" customHeight="1" outlineLevel="2">
      <c r="A700" s="438"/>
      <c r="B700" s="490" t="s">
        <v>300</v>
      </c>
      <c r="C700" s="398" t="s">
        <v>408</v>
      </c>
      <c r="D700" s="399" t="s">
        <v>391</v>
      </c>
      <c r="E700" s="490"/>
      <c r="F700" s="396"/>
      <c r="G700" s="385"/>
      <c r="H700" s="385" t="s">
        <v>517</v>
      </c>
      <c r="I700" s="385" t="s">
        <v>514</v>
      </c>
      <c r="J700" s="489" t="s">
        <v>365</v>
      </c>
      <c r="K700" s="412"/>
      <c r="L700" s="412"/>
      <c r="M700" s="490" t="s">
        <v>37</v>
      </c>
      <c r="N700" s="490">
        <v>9</v>
      </c>
    </row>
    <row r="701" spans="1:130" s="405" customFormat="1" ht="48" customHeight="1" outlineLevel="1" collapsed="1">
      <c r="A701" s="489" t="s">
        <v>1362</v>
      </c>
      <c r="B701" s="490" t="s">
        <v>300</v>
      </c>
      <c r="C701" s="398" t="s">
        <v>559</v>
      </c>
      <c r="D701" s="399" t="s">
        <v>391</v>
      </c>
      <c r="E701" s="490" t="s">
        <v>557</v>
      </c>
      <c r="F701" s="385" t="s">
        <v>810</v>
      </c>
      <c r="G701" s="385"/>
      <c r="H701" s="401" t="s">
        <v>556</v>
      </c>
      <c r="I701" s="385" t="str">
        <f>CONCATENATE(I702," ","(",H702,")","-",N702," ",M702)</f>
        <v>Ремонт выключателей 6-10 кВ (ВМГ-133 В 6 яч.8)-1 шт.</v>
      </c>
      <c r="J701" s="489" t="s">
        <v>365</v>
      </c>
      <c r="K701" s="450">
        <v>44228</v>
      </c>
      <c r="L701" s="450">
        <v>44255</v>
      </c>
      <c r="M701" s="490"/>
      <c r="N701" s="490"/>
      <c r="O701" s="493"/>
      <c r="P701" s="493"/>
      <c r="Q701" s="493"/>
      <c r="R701" s="493"/>
      <c r="S701" s="493"/>
      <c r="T701" s="493"/>
      <c r="U701" s="493"/>
      <c r="V701" s="493"/>
      <c r="W701" s="493"/>
      <c r="X701" s="493"/>
      <c r="Y701" s="493"/>
      <c r="Z701" s="493"/>
      <c r="AA701" s="493"/>
      <c r="AB701" s="493"/>
      <c r="AC701" s="493"/>
      <c r="AD701" s="493"/>
      <c r="AE701" s="493"/>
      <c r="AF701" s="493"/>
      <c r="AG701" s="493"/>
      <c r="AH701" s="493"/>
      <c r="AI701" s="493"/>
      <c r="AJ701" s="493"/>
      <c r="AK701" s="493"/>
      <c r="AL701" s="493"/>
      <c r="AM701" s="493"/>
      <c r="AN701" s="493"/>
      <c r="AO701" s="493"/>
      <c r="AP701" s="493"/>
      <c r="AQ701" s="493"/>
      <c r="AR701" s="493"/>
      <c r="AS701" s="493"/>
      <c r="AT701" s="493"/>
      <c r="AU701" s="493"/>
      <c r="AV701" s="493"/>
      <c r="AW701" s="493"/>
      <c r="AX701" s="493"/>
      <c r="AY701" s="493"/>
      <c r="AZ701" s="493"/>
      <c r="BA701" s="493"/>
      <c r="BB701" s="493"/>
      <c r="BC701" s="493"/>
      <c r="BD701" s="493"/>
      <c r="BE701" s="493"/>
      <c r="BF701" s="493"/>
      <c r="BG701" s="493"/>
      <c r="BH701" s="493"/>
      <c r="BI701" s="493"/>
      <c r="BJ701" s="493"/>
      <c r="BK701" s="493"/>
      <c r="BL701" s="493"/>
      <c r="BM701" s="493"/>
      <c r="BN701" s="493"/>
      <c r="BO701" s="493"/>
      <c r="BP701" s="493"/>
      <c r="BQ701" s="493"/>
      <c r="BR701" s="493"/>
      <c r="BS701" s="493"/>
      <c r="BT701" s="493"/>
      <c r="BU701" s="493"/>
      <c r="BV701" s="493"/>
      <c r="BW701" s="493"/>
      <c r="BX701" s="493"/>
      <c r="BY701" s="493"/>
      <c r="BZ701" s="493"/>
      <c r="CA701" s="493"/>
      <c r="CB701" s="493"/>
      <c r="CC701" s="493"/>
      <c r="CD701" s="493"/>
      <c r="CE701" s="493"/>
      <c r="CF701" s="493"/>
      <c r="CG701" s="493"/>
      <c r="CH701" s="493"/>
      <c r="CI701" s="493"/>
      <c r="CJ701" s="493"/>
      <c r="CK701" s="493"/>
      <c r="CL701" s="493"/>
      <c r="CM701" s="493"/>
      <c r="CN701" s="493"/>
      <c r="CO701" s="493"/>
      <c r="CP701" s="493"/>
      <c r="CQ701" s="493"/>
      <c r="CR701" s="493"/>
      <c r="CS701" s="493"/>
      <c r="CT701" s="493"/>
      <c r="CU701" s="493"/>
      <c r="CV701" s="493"/>
      <c r="CW701" s="493"/>
      <c r="CX701" s="493"/>
      <c r="CY701" s="493"/>
      <c r="CZ701" s="493"/>
      <c r="DA701" s="493"/>
      <c r="DB701" s="493"/>
      <c r="DC701" s="493"/>
      <c r="DD701" s="493"/>
      <c r="DE701" s="493"/>
      <c r="DF701" s="493"/>
      <c r="DG701" s="493"/>
      <c r="DH701" s="493"/>
      <c r="DI701" s="493"/>
      <c r="DJ701" s="493"/>
      <c r="DK701" s="493"/>
      <c r="DL701" s="493"/>
      <c r="DM701" s="493"/>
      <c r="DN701" s="493"/>
      <c r="DO701" s="493"/>
      <c r="DP701" s="493"/>
      <c r="DQ701" s="493"/>
      <c r="DR701" s="493"/>
      <c r="DS701" s="493"/>
      <c r="DT701" s="493"/>
      <c r="DU701" s="493"/>
      <c r="DV701" s="493"/>
      <c r="DW701" s="493"/>
      <c r="DX701" s="493"/>
      <c r="DY701" s="493"/>
      <c r="DZ701" s="493"/>
    </row>
    <row r="702" spans="1:130" hidden="1" outlineLevel="2">
      <c r="A702" s="438"/>
      <c r="B702" s="490" t="s">
        <v>300</v>
      </c>
      <c r="C702" s="398" t="s">
        <v>559</v>
      </c>
      <c r="D702" s="399" t="s">
        <v>391</v>
      </c>
      <c r="E702" s="490"/>
      <c r="F702" s="396"/>
      <c r="G702" s="385"/>
      <c r="H702" s="385" t="s">
        <v>558</v>
      </c>
      <c r="I702" s="385" t="s">
        <v>191</v>
      </c>
      <c r="J702" s="489" t="s">
        <v>365</v>
      </c>
      <c r="K702" s="412"/>
      <c r="L702" s="412"/>
      <c r="M702" s="490" t="s">
        <v>37</v>
      </c>
      <c r="N702" s="490">
        <v>1</v>
      </c>
    </row>
    <row r="703" spans="1:130" s="405" customFormat="1" ht="81" outlineLevel="1" collapsed="1">
      <c r="A703" s="489" t="s">
        <v>1363</v>
      </c>
      <c r="B703" s="490" t="s">
        <v>300</v>
      </c>
      <c r="C703" s="398" t="s">
        <v>559</v>
      </c>
      <c r="D703" s="399" t="s">
        <v>391</v>
      </c>
      <c r="E703" s="490" t="s">
        <v>557</v>
      </c>
      <c r="F703" s="385" t="s">
        <v>810</v>
      </c>
      <c r="G703" s="385"/>
      <c r="H703" s="401" t="s">
        <v>561</v>
      </c>
      <c r="I703" s="385" t="str">
        <f>CONCATENATE(I704," ","(",H704,")","-",N704," ",M704)</f>
        <v>Ремонт выключателей 6-10 кВ (В 6 типа BB/TEL-10/20-1000 яч.7,1,3,5,11,12,18,20,23,24,25,26,28,29,30,31,32,34,35,36,37      )-21 шт.</v>
      </c>
      <c r="J703" s="489" t="s">
        <v>365</v>
      </c>
      <c r="K703" s="450">
        <v>44287</v>
      </c>
      <c r="L703" s="450">
        <v>44316</v>
      </c>
      <c r="M703" s="490"/>
      <c r="N703" s="490"/>
      <c r="O703" s="493"/>
      <c r="P703" s="493"/>
      <c r="Q703" s="493"/>
      <c r="R703" s="493"/>
      <c r="S703" s="493"/>
      <c r="T703" s="493"/>
      <c r="U703" s="493"/>
      <c r="V703" s="493"/>
      <c r="W703" s="493"/>
      <c r="X703" s="493"/>
      <c r="Y703" s="493"/>
      <c r="Z703" s="493"/>
      <c r="AA703" s="493"/>
      <c r="AB703" s="493"/>
      <c r="AC703" s="493"/>
      <c r="AD703" s="493"/>
      <c r="AE703" s="493"/>
      <c r="AF703" s="493"/>
      <c r="AG703" s="493"/>
      <c r="AH703" s="493"/>
      <c r="AI703" s="493"/>
      <c r="AJ703" s="493"/>
      <c r="AK703" s="493"/>
      <c r="AL703" s="493"/>
      <c r="AM703" s="493"/>
      <c r="AN703" s="493"/>
      <c r="AO703" s="493"/>
      <c r="AP703" s="493"/>
      <c r="AQ703" s="493"/>
      <c r="AR703" s="493"/>
      <c r="AS703" s="493"/>
      <c r="AT703" s="493"/>
      <c r="AU703" s="493"/>
      <c r="AV703" s="493"/>
      <c r="AW703" s="493"/>
      <c r="AX703" s="493"/>
      <c r="AY703" s="493"/>
      <c r="AZ703" s="493"/>
      <c r="BA703" s="493"/>
      <c r="BB703" s="493"/>
      <c r="BC703" s="493"/>
      <c r="BD703" s="493"/>
      <c r="BE703" s="493"/>
      <c r="BF703" s="493"/>
      <c r="BG703" s="493"/>
      <c r="BH703" s="493"/>
      <c r="BI703" s="493"/>
      <c r="BJ703" s="493"/>
      <c r="BK703" s="493"/>
      <c r="BL703" s="493"/>
      <c r="BM703" s="493"/>
      <c r="BN703" s="493"/>
      <c r="BO703" s="493"/>
      <c r="BP703" s="493"/>
      <c r="BQ703" s="493"/>
      <c r="BR703" s="493"/>
      <c r="BS703" s="493"/>
      <c r="BT703" s="493"/>
      <c r="BU703" s="493"/>
      <c r="BV703" s="493"/>
      <c r="BW703" s="493"/>
      <c r="BX703" s="493"/>
      <c r="BY703" s="493"/>
      <c r="BZ703" s="493"/>
      <c r="CA703" s="493"/>
      <c r="CB703" s="493"/>
      <c r="CC703" s="493"/>
      <c r="CD703" s="493"/>
      <c r="CE703" s="493"/>
      <c r="CF703" s="493"/>
      <c r="CG703" s="493"/>
      <c r="CH703" s="493"/>
      <c r="CI703" s="493"/>
      <c r="CJ703" s="493"/>
      <c r="CK703" s="493"/>
      <c r="CL703" s="493"/>
      <c r="CM703" s="493"/>
      <c r="CN703" s="493"/>
      <c r="CO703" s="493"/>
      <c r="CP703" s="493"/>
      <c r="CQ703" s="493"/>
      <c r="CR703" s="493"/>
      <c r="CS703" s="493"/>
      <c r="CT703" s="493"/>
      <c r="CU703" s="493"/>
      <c r="CV703" s="493"/>
      <c r="CW703" s="493"/>
      <c r="CX703" s="493"/>
      <c r="CY703" s="493"/>
      <c r="CZ703" s="493"/>
      <c r="DA703" s="493"/>
      <c r="DB703" s="493"/>
      <c r="DC703" s="493"/>
      <c r="DD703" s="493"/>
      <c r="DE703" s="493"/>
      <c r="DF703" s="493"/>
      <c r="DG703" s="493"/>
      <c r="DH703" s="493"/>
      <c r="DI703" s="493"/>
      <c r="DJ703" s="493"/>
      <c r="DK703" s="493"/>
      <c r="DL703" s="493"/>
      <c r="DM703" s="493"/>
      <c r="DN703" s="493"/>
      <c r="DO703" s="493"/>
      <c r="DP703" s="493"/>
      <c r="DQ703" s="493"/>
      <c r="DR703" s="493"/>
      <c r="DS703" s="493"/>
      <c r="DT703" s="493"/>
      <c r="DU703" s="493"/>
      <c r="DV703" s="493"/>
      <c r="DW703" s="493"/>
      <c r="DX703" s="493"/>
      <c r="DY703" s="493"/>
      <c r="DZ703" s="493"/>
    </row>
    <row r="704" spans="1:130" ht="60.75" hidden="1" outlineLevel="2">
      <c r="A704" s="438"/>
      <c r="B704" s="490" t="s">
        <v>300</v>
      </c>
      <c r="C704" s="398" t="s">
        <v>559</v>
      </c>
      <c r="D704" s="399" t="s">
        <v>391</v>
      </c>
      <c r="E704" s="490"/>
      <c r="F704" s="396"/>
      <c r="G704" s="385"/>
      <c r="H704" s="385" t="s">
        <v>562</v>
      </c>
      <c r="I704" s="385" t="s">
        <v>191</v>
      </c>
      <c r="J704" s="489" t="s">
        <v>365</v>
      </c>
      <c r="K704" s="412"/>
      <c r="L704" s="412"/>
      <c r="M704" s="490" t="s">
        <v>37</v>
      </c>
      <c r="N704" s="490">
        <v>21</v>
      </c>
    </row>
    <row r="705" spans="1:130" s="405" customFormat="1" ht="40.5" outlineLevel="1" collapsed="1">
      <c r="A705" s="489" t="s">
        <v>1364</v>
      </c>
      <c r="B705" s="490" t="s">
        <v>300</v>
      </c>
      <c r="C705" s="398" t="s">
        <v>559</v>
      </c>
      <c r="D705" s="399" t="s">
        <v>391</v>
      </c>
      <c r="E705" s="490" t="s">
        <v>564</v>
      </c>
      <c r="F705" s="385" t="s">
        <v>810</v>
      </c>
      <c r="G705" s="385"/>
      <c r="H705" s="401" t="s">
        <v>563</v>
      </c>
      <c r="I705" s="385" t="str">
        <f>CONCATENATE(I706," ","(",H706,")","-",N706," ",M706)</f>
        <v>Замена выключателей 6-10 кВ (В-6 типа ВМГ-133,ВМГ-10 на ВВ яч.6, яч.9)-2 шт.</v>
      </c>
      <c r="J705" s="489" t="s">
        <v>365</v>
      </c>
      <c r="K705" s="450">
        <v>44440</v>
      </c>
      <c r="L705" s="450">
        <v>44469</v>
      </c>
      <c r="M705" s="490"/>
      <c r="N705" s="490"/>
      <c r="O705" s="493"/>
      <c r="P705" s="493"/>
      <c r="Q705" s="493"/>
      <c r="R705" s="493"/>
      <c r="S705" s="493"/>
      <c r="T705" s="493"/>
      <c r="U705" s="493"/>
      <c r="V705" s="493"/>
      <c r="W705" s="493"/>
      <c r="X705" s="493"/>
      <c r="Y705" s="493"/>
      <c r="Z705" s="493"/>
      <c r="AA705" s="493"/>
      <c r="AB705" s="493"/>
      <c r="AC705" s="493"/>
      <c r="AD705" s="493"/>
      <c r="AE705" s="493"/>
      <c r="AF705" s="493"/>
      <c r="AG705" s="493"/>
      <c r="AH705" s="493"/>
      <c r="AI705" s="493"/>
      <c r="AJ705" s="493"/>
      <c r="AK705" s="493"/>
      <c r="AL705" s="493"/>
      <c r="AM705" s="493"/>
      <c r="AN705" s="493"/>
      <c r="AO705" s="493"/>
      <c r="AP705" s="493"/>
      <c r="AQ705" s="493"/>
      <c r="AR705" s="493"/>
      <c r="AS705" s="493"/>
      <c r="AT705" s="493"/>
      <c r="AU705" s="493"/>
      <c r="AV705" s="493"/>
      <c r="AW705" s="493"/>
      <c r="AX705" s="493"/>
      <c r="AY705" s="493"/>
      <c r="AZ705" s="493"/>
      <c r="BA705" s="493"/>
      <c r="BB705" s="493"/>
      <c r="BC705" s="493"/>
      <c r="BD705" s="493"/>
      <c r="BE705" s="493"/>
      <c r="BF705" s="493"/>
      <c r="BG705" s="493"/>
      <c r="BH705" s="493"/>
      <c r="BI705" s="493"/>
      <c r="BJ705" s="493"/>
      <c r="BK705" s="493"/>
      <c r="BL705" s="493"/>
      <c r="BM705" s="493"/>
      <c r="BN705" s="493"/>
      <c r="BO705" s="493"/>
      <c r="BP705" s="493"/>
      <c r="BQ705" s="493"/>
      <c r="BR705" s="493"/>
      <c r="BS705" s="493"/>
      <c r="BT705" s="493"/>
      <c r="BU705" s="493"/>
      <c r="BV705" s="493"/>
      <c r="BW705" s="493"/>
      <c r="BX705" s="493"/>
      <c r="BY705" s="493"/>
      <c r="BZ705" s="493"/>
      <c r="CA705" s="493"/>
      <c r="CB705" s="493"/>
      <c r="CC705" s="493"/>
      <c r="CD705" s="493"/>
      <c r="CE705" s="493"/>
      <c r="CF705" s="493"/>
      <c r="CG705" s="493"/>
      <c r="CH705" s="493"/>
      <c r="CI705" s="493"/>
      <c r="CJ705" s="493"/>
      <c r="CK705" s="493"/>
      <c r="CL705" s="493"/>
      <c r="CM705" s="493"/>
      <c r="CN705" s="493"/>
      <c r="CO705" s="493"/>
      <c r="CP705" s="493"/>
      <c r="CQ705" s="493"/>
      <c r="CR705" s="493"/>
      <c r="CS705" s="493"/>
      <c r="CT705" s="493"/>
      <c r="CU705" s="493"/>
      <c r="CV705" s="493"/>
      <c r="CW705" s="493"/>
      <c r="CX705" s="493"/>
      <c r="CY705" s="493"/>
      <c r="CZ705" s="493"/>
      <c r="DA705" s="493"/>
      <c r="DB705" s="493"/>
      <c r="DC705" s="493"/>
      <c r="DD705" s="493"/>
      <c r="DE705" s="493"/>
      <c r="DF705" s="493"/>
      <c r="DG705" s="493"/>
      <c r="DH705" s="493"/>
      <c r="DI705" s="493"/>
      <c r="DJ705" s="493"/>
      <c r="DK705" s="493"/>
      <c r="DL705" s="493"/>
      <c r="DM705" s="493"/>
      <c r="DN705" s="493"/>
      <c r="DO705" s="493"/>
      <c r="DP705" s="493"/>
      <c r="DQ705" s="493"/>
      <c r="DR705" s="493"/>
      <c r="DS705" s="493"/>
      <c r="DT705" s="493"/>
      <c r="DU705" s="493"/>
      <c r="DV705" s="493"/>
      <c r="DW705" s="493"/>
      <c r="DX705" s="493"/>
      <c r="DY705" s="493"/>
      <c r="DZ705" s="493"/>
    </row>
    <row r="706" spans="1:130" ht="40.5" hidden="1" outlineLevel="2">
      <c r="A706" s="438"/>
      <c r="B706" s="490" t="s">
        <v>300</v>
      </c>
      <c r="C706" s="398" t="s">
        <v>559</v>
      </c>
      <c r="D706" s="399" t="s">
        <v>391</v>
      </c>
      <c r="E706" s="385"/>
      <c r="F706" s="396"/>
      <c r="G706" s="385"/>
      <c r="H706" s="385" t="s">
        <v>1558</v>
      </c>
      <c r="I706" s="385" t="s">
        <v>196</v>
      </c>
      <c r="J706" s="489" t="s">
        <v>365</v>
      </c>
      <c r="K706" s="412"/>
      <c r="L706" s="412"/>
      <c r="M706" s="490" t="s">
        <v>37</v>
      </c>
      <c r="N706" s="490">
        <v>2</v>
      </c>
    </row>
    <row r="707" spans="1:130" s="384" customFormat="1" ht="81" outlineLevel="1" collapsed="1">
      <c r="A707" s="489" t="s">
        <v>1365</v>
      </c>
      <c r="B707" s="490" t="s">
        <v>300</v>
      </c>
      <c r="C707" s="398" t="s">
        <v>559</v>
      </c>
      <c r="D707" s="399" t="s">
        <v>391</v>
      </c>
      <c r="E707" s="490" t="s">
        <v>1694</v>
      </c>
      <c r="F707" s="385" t="s">
        <v>1470</v>
      </c>
      <c r="G707" s="385"/>
      <c r="H707" s="385" t="s">
        <v>567</v>
      </c>
      <c r="I707" s="385" t="str">
        <f>CONCATENATE(I708," ","(",H708,")","-",N708," ",M708,)</f>
        <v>Замена трансформаторов тока 6-10 кВ (Яч. 4 А, С, Яч. 20 А, С, Яч. 6 А, С, Яч. 22 А, С)-8 шт.</v>
      </c>
      <c r="J707" s="489" t="s">
        <v>365</v>
      </c>
      <c r="K707" s="450">
        <v>44348</v>
      </c>
      <c r="L707" s="450">
        <v>44439</v>
      </c>
      <c r="M707" s="490"/>
      <c r="N707" s="490"/>
    </row>
    <row r="708" spans="1:130" ht="40.5" hidden="1" outlineLevel="2">
      <c r="A708" s="438"/>
      <c r="B708" s="490" t="s">
        <v>300</v>
      </c>
      <c r="C708" s="398"/>
      <c r="D708" s="399"/>
      <c r="E708" s="385"/>
      <c r="F708" s="400"/>
      <c r="G708" s="385"/>
      <c r="H708" s="401" t="s">
        <v>1710</v>
      </c>
      <c r="I708" s="385" t="s">
        <v>967</v>
      </c>
      <c r="J708" s="489" t="s">
        <v>365</v>
      </c>
      <c r="K708" s="412"/>
      <c r="L708" s="412"/>
      <c r="M708" s="490" t="s">
        <v>37</v>
      </c>
      <c r="N708" s="490">
        <v>8</v>
      </c>
    </row>
    <row r="709" spans="1:130" s="405" customFormat="1" ht="60.75" outlineLevel="1" collapsed="1">
      <c r="A709" s="489" t="s">
        <v>1366</v>
      </c>
      <c r="B709" s="490" t="s">
        <v>300</v>
      </c>
      <c r="C709" s="398" t="s">
        <v>559</v>
      </c>
      <c r="D709" s="399" t="s">
        <v>391</v>
      </c>
      <c r="E709" s="490" t="s">
        <v>713</v>
      </c>
      <c r="F709" s="385" t="s">
        <v>810</v>
      </c>
      <c r="G709" s="385"/>
      <c r="H709" s="401" t="s">
        <v>714</v>
      </c>
      <c r="I709" s="385" t="str">
        <f>CONCATENATE(I710," ","(",H710,")","-",N710," ",M710)</f>
        <v>Ремонт выключателей 6-10 кВ (ВМПЭ-10 с приводом ПЭ-1  6 яч.39 3Т,41,42,44,     ВМГ-133 с приводом ПС-10   6 яч.2,4,5,13,18,24,28,30,33)-13 шт.</v>
      </c>
      <c r="J709" s="489" t="s">
        <v>365</v>
      </c>
      <c r="K709" s="450">
        <v>44440</v>
      </c>
      <c r="L709" s="450">
        <v>44469</v>
      </c>
      <c r="M709" s="490"/>
      <c r="N709" s="490"/>
      <c r="O709" s="493"/>
      <c r="P709" s="493"/>
      <c r="Q709" s="493"/>
      <c r="R709" s="493"/>
      <c r="S709" s="493"/>
      <c r="T709" s="493"/>
      <c r="U709" s="493"/>
      <c r="V709" s="493"/>
      <c r="W709" s="493"/>
      <c r="X709" s="493"/>
      <c r="Y709" s="493"/>
      <c r="Z709" s="493"/>
      <c r="AA709" s="493"/>
      <c r="AB709" s="493"/>
      <c r="AC709" s="493"/>
      <c r="AD709" s="493"/>
      <c r="AE709" s="493"/>
      <c r="AF709" s="493"/>
      <c r="AG709" s="493"/>
      <c r="AH709" s="493"/>
      <c r="AI709" s="493"/>
      <c r="AJ709" s="493"/>
      <c r="AK709" s="493"/>
      <c r="AL709" s="493"/>
      <c r="AM709" s="493"/>
      <c r="AN709" s="493"/>
      <c r="AO709" s="493"/>
      <c r="AP709" s="493"/>
      <c r="AQ709" s="493"/>
      <c r="AR709" s="493"/>
      <c r="AS709" s="493"/>
      <c r="AT709" s="493"/>
      <c r="AU709" s="493"/>
      <c r="AV709" s="493"/>
      <c r="AW709" s="493"/>
      <c r="AX709" s="493"/>
      <c r="AY709" s="493"/>
      <c r="AZ709" s="493"/>
      <c r="BA709" s="493"/>
      <c r="BB709" s="493"/>
      <c r="BC709" s="493"/>
      <c r="BD709" s="493"/>
      <c r="BE709" s="493"/>
      <c r="BF709" s="493"/>
      <c r="BG709" s="493"/>
      <c r="BH709" s="493"/>
      <c r="BI709" s="493"/>
      <c r="BJ709" s="493"/>
      <c r="BK709" s="493"/>
      <c r="BL709" s="493"/>
      <c r="BM709" s="493"/>
      <c r="BN709" s="493"/>
      <c r="BO709" s="493"/>
      <c r="BP709" s="493"/>
      <c r="BQ709" s="493"/>
      <c r="BR709" s="493"/>
      <c r="BS709" s="493"/>
      <c r="BT709" s="493"/>
      <c r="BU709" s="493"/>
      <c r="BV709" s="493"/>
      <c r="BW709" s="493"/>
      <c r="BX709" s="493"/>
      <c r="BY709" s="493"/>
      <c r="BZ709" s="493"/>
      <c r="CA709" s="493"/>
      <c r="CB709" s="493"/>
      <c r="CC709" s="493"/>
      <c r="CD709" s="493"/>
      <c r="CE709" s="493"/>
      <c r="CF709" s="493"/>
      <c r="CG709" s="493"/>
      <c r="CH709" s="493"/>
      <c r="CI709" s="493"/>
      <c r="CJ709" s="493"/>
      <c r="CK709" s="493"/>
      <c r="CL709" s="493"/>
      <c r="CM709" s="493"/>
      <c r="CN709" s="493"/>
      <c r="CO709" s="493"/>
      <c r="CP709" s="493"/>
      <c r="CQ709" s="493"/>
      <c r="CR709" s="493"/>
      <c r="CS709" s="493"/>
      <c r="CT709" s="493"/>
      <c r="CU709" s="493"/>
      <c r="CV709" s="493"/>
      <c r="CW709" s="493"/>
      <c r="CX709" s="493"/>
      <c r="CY709" s="493"/>
      <c r="CZ709" s="493"/>
      <c r="DA709" s="493"/>
      <c r="DB709" s="493"/>
      <c r="DC709" s="493"/>
      <c r="DD709" s="493"/>
      <c r="DE709" s="493"/>
      <c r="DF709" s="493"/>
      <c r="DG709" s="493"/>
      <c r="DH709" s="493"/>
      <c r="DI709" s="493"/>
      <c r="DJ709" s="493"/>
      <c r="DK709" s="493"/>
      <c r="DL709" s="493"/>
      <c r="DM709" s="493"/>
      <c r="DN709" s="493"/>
      <c r="DO709" s="493"/>
      <c r="DP709" s="493"/>
      <c r="DQ709" s="493"/>
      <c r="DR709" s="493"/>
      <c r="DS709" s="493"/>
      <c r="DT709" s="493"/>
      <c r="DU709" s="493"/>
      <c r="DV709" s="493"/>
      <c r="DW709" s="493"/>
      <c r="DX709" s="493"/>
      <c r="DY709" s="493"/>
      <c r="DZ709" s="493"/>
    </row>
    <row r="710" spans="1:130" ht="79.5" hidden="1" customHeight="1" outlineLevel="2">
      <c r="A710" s="438"/>
      <c r="B710" s="490" t="s">
        <v>300</v>
      </c>
      <c r="C710" s="398" t="s">
        <v>559</v>
      </c>
      <c r="D710" s="399" t="s">
        <v>391</v>
      </c>
      <c r="E710" s="385"/>
      <c r="F710" s="396"/>
      <c r="G710" s="385"/>
      <c r="H710" s="385" t="s">
        <v>723</v>
      </c>
      <c r="I710" s="385" t="s">
        <v>191</v>
      </c>
      <c r="J710" s="489" t="s">
        <v>365</v>
      </c>
      <c r="K710" s="412"/>
      <c r="L710" s="412"/>
      <c r="M710" s="490" t="s">
        <v>37</v>
      </c>
      <c r="N710" s="490">
        <v>13</v>
      </c>
    </row>
    <row r="711" spans="1:130" s="384" customFormat="1" ht="81" outlineLevel="1" collapsed="1">
      <c r="A711" s="489" t="s">
        <v>1367</v>
      </c>
      <c r="B711" s="490" t="s">
        <v>300</v>
      </c>
      <c r="C711" s="398" t="s">
        <v>559</v>
      </c>
      <c r="D711" s="399" t="s">
        <v>391</v>
      </c>
      <c r="E711" s="490" t="s">
        <v>1695</v>
      </c>
      <c r="F711" s="385" t="s">
        <v>1470</v>
      </c>
      <c r="G711" s="385"/>
      <c r="H711" s="385" t="s">
        <v>1822</v>
      </c>
      <c r="I711" s="385" t="str">
        <f>CONCATENATE(I712," ","(",H712,")","-",N712," ",M712,)</f>
        <v>Замена трансформаторов тока 6-10 кВ (Яч. 14 А, С, Яч. 5 А, С )-4 шт.</v>
      </c>
      <c r="J711" s="489" t="s">
        <v>365</v>
      </c>
      <c r="K711" s="450">
        <v>44348</v>
      </c>
      <c r="L711" s="450">
        <v>44439</v>
      </c>
      <c r="M711" s="490"/>
      <c r="N711" s="490"/>
    </row>
    <row r="712" spans="1:130" hidden="1" outlineLevel="2">
      <c r="A712" s="438"/>
      <c r="B712" s="490" t="s">
        <v>300</v>
      </c>
      <c r="C712" s="398"/>
      <c r="D712" s="399"/>
      <c r="E712" s="385"/>
      <c r="F712" s="400"/>
      <c r="G712" s="385"/>
      <c r="H712" s="401" t="s">
        <v>1692</v>
      </c>
      <c r="I712" s="385" t="s">
        <v>967</v>
      </c>
      <c r="J712" s="489" t="s">
        <v>365</v>
      </c>
      <c r="K712" s="412"/>
      <c r="L712" s="412"/>
      <c r="M712" s="490" t="s">
        <v>37</v>
      </c>
      <c r="N712" s="490">
        <v>4</v>
      </c>
    </row>
    <row r="713" spans="1:130" s="405" customFormat="1" ht="42" customHeight="1" outlineLevel="1" collapsed="1">
      <c r="A713" s="489" t="s">
        <v>1368</v>
      </c>
      <c r="B713" s="490" t="s">
        <v>300</v>
      </c>
      <c r="C713" s="398" t="s">
        <v>559</v>
      </c>
      <c r="D713" s="399" t="s">
        <v>391</v>
      </c>
      <c r="E713" s="490" t="s">
        <v>734</v>
      </c>
      <c r="F713" s="385" t="s">
        <v>810</v>
      </c>
      <c r="G713" s="385"/>
      <c r="H713" s="401" t="s">
        <v>733</v>
      </c>
      <c r="I713" s="385" t="str">
        <f>CONCATENATE(I714," ","(",H714,")","-",N714," ",M714)</f>
        <v>Ремонт выключателей 6-10 кВ (В 6 1Т, яч.2,24,28      )-4 шт.</v>
      </c>
      <c r="J713" s="489" t="s">
        <v>365</v>
      </c>
      <c r="K713" s="450">
        <v>44501</v>
      </c>
      <c r="L713" s="450">
        <v>44530</v>
      </c>
      <c r="M713" s="490"/>
      <c r="N713" s="490"/>
      <c r="O713" s="493"/>
      <c r="P713" s="493"/>
      <c r="Q713" s="493"/>
      <c r="R713" s="493"/>
      <c r="S713" s="493"/>
      <c r="T713" s="493"/>
      <c r="U713" s="493"/>
      <c r="V713" s="493"/>
      <c r="W713" s="493"/>
      <c r="X713" s="493"/>
      <c r="Y713" s="493"/>
      <c r="Z713" s="493"/>
      <c r="AA713" s="493"/>
      <c r="AB713" s="493"/>
      <c r="AC713" s="493"/>
      <c r="AD713" s="493"/>
      <c r="AE713" s="493"/>
      <c r="AF713" s="493"/>
      <c r="AG713" s="493"/>
      <c r="AH713" s="493"/>
      <c r="AI713" s="493"/>
      <c r="AJ713" s="493"/>
      <c r="AK713" s="493"/>
      <c r="AL713" s="493"/>
      <c r="AM713" s="493"/>
      <c r="AN713" s="493"/>
      <c r="AO713" s="493"/>
      <c r="AP713" s="493"/>
      <c r="AQ713" s="493"/>
      <c r="AR713" s="493"/>
      <c r="AS713" s="493"/>
      <c r="AT713" s="493"/>
      <c r="AU713" s="493"/>
      <c r="AV713" s="493"/>
      <c r="AW713" s="493"/>
      <c r="AX713" s="493"/>
      <c r="AY713" s="493"/>
      <c r="AZ713" s="493"/>
      <c r="BA713" s="493"/>
      <c r="BB713" s="493"/>
      <c r="BC713" s="493"/>
      <c r="BD713" s="493"/>
      <c r="BE713" s="493"/>
      <c r="BF713" s="493"/>
      <c r="BG713" s="493"/>
      <c r="BH713" s="493"/>
      <c r="BI713" s="493"/>
      <c r="BJ713" s="493"/>
      <c r="BK713" s="493"/>
      <c r="BL713" s="493"/>
      <c r="BM713" s="493"/>
      <c r="BN713" s="493"/>
      <c r="BO713" s="493"/>
      <c r="BP713" s="493"/>
      <c r="BQ713" s="493"/>
      <c r="BR713" s="493"/>
      <c r="BS713" s="493"/>
      <c r="BT713" s="493"/>
      <c r="BU713" s="493"/>
      <c r="BV713" s="493"/>
      <c r="BW713" s="493"/>
      <c r="BX713" s="493"/>
      <c r="BY713" s="493"/>
      <c r="BZ713" s="493"/>
      <c r="CA713" s="493"/>
      <c r="CB713" s="493"/>
      <c r="CC713" s="493"/>
      <c r="CD713" s="493"/>
      <c r="CE713" s="493"/>
      <c r="CF713" s="493"/>
      <c r="CG713" s="493"/>
      <c r="CH713" s="493"/>
      <c r="CI713" s="493"/>
      <c r="CJ713" s="493"/>
      <c r="CK713" s="493"/>
      <c r="CL713" s="493"/>
      <c r="CM713" s="493"/>
      <c r="CN713" s="493"/>
      <c r="CO713" s="493"/>
      <c r="CP713" s="493"/>
      <c r="CQ713" s="493"/>
      <c r="CR713" s="493"/>
      <c r="CS713" s="493"/>
      <c r="CT713" s="493"/>
      <c r="CU713" s="493"/>
      <c r="CV713" s="493"/>
      <c r="CW713" s="493"/>
      <c r="CX713" s="493"/>
      <c r="CY713" s="493"/>
      <c r="CZ713" s="493"/>
      <c r="DA713" s="493"/>
      <c r="DB713" s="493"/>
      <c r="DC713" s="493"/>
      <c r="DD713" s="493"/>
      <c r="DE713" s="493"/>
      <c r="DF713" s="493"/>
      <c r="DG713" s="493"/>
      <c r="DH713" s="493"/>
      <c r="DI713" s="493"/>
      <c r="DJ713" s="493"/>
      <c r="DK713" s="493"/>
      <c r="DL713" s="493"/>
      <c r="DM713" s="493"/>
      <c r="DN713" s="493"/>
      <c r="DO713" s="493"/>
      <c r="DP713" s="493"/>
      <c r="DQ713" s="493"/>
      <c r="DR713" s="493"/>
      <c r="DS713" s="493"/>
      <c r="DT713" s="493"/>
      <c r="DU713" s="493"/>
      <c r="DV713" s="493"/>
      <c r="DW713" s="493"/>
      <c r="DX713" s="493"/>
      <c r="DY713" s="493"/>
      <c r="DZ713" s="493"/>
    </row>
    <row r="714" spans="1:130" hidden="1" outlineLevel="2">
      <c r="A714" s="438"/>
      <c r="B714" s="490" t="s">
        <v>300</v>
      </c>
      <c r="C714" s="398" t="s">
        <v>559</v>
      </c>
      <c r="D714" s="399" t="s">
        <v>391</v>
      </c>
      <c r="E714" s="385"/>
      <c r="F714" s="396"/>
      <c r="G714" s="385"/>
      <c r="H714" s="385" t="s">
        <v>735</v>
      </c>
      <c r="I714" s="385" t="s">
        <v>191</v>
      </c>
      <c r="J714" s="489" t="s">
        <v>365</v>
      </c>
      <c r="K714" s="412"/>
      <c r="L714" s="412"/>
      <c r="M714" s="490" t="s">
        <v>37</v>
      </c>
      <c r="N714" s="490">
        <v>4</v>
      </c>
    </row>
    <row r="715" spans="1:130" s="405" customFormat="1" ht="122.25" customHeight="1" outlineLevel="1" collapsed="1">
      <c r="A715" s="489" t="s">
        <v>1369</v>
      </c>
      <c r="B715" s="490" t="s">
        <v>300</v>
      </c>
      <c r="C715" s="398" t="s">
        <v>607</v>
      </c>
      <c r="D715" s="399" t="s">
        <v>391</v>
      </c>
      <c r="E715" s="490" t="s">
        <v>614</v>
      </c>
      <c r="F715" s="385" t="s">
        <v>3368</v>
      </c>
      <c r="G715" s="385"/>
      <c r="H715" s="401" t="s">
        <v>615</v>
      </c>
      <c r="I715" s="385" t="str">
        <f>CONCATENATE(I717," ","(",H717,")","-",N717," ",M717," ",I716," ","(",H716,")","-",N716," ",M716)</f>
        <v>Замена трансформаторов тока 6-10 кВ (Яч. 1А А, С)-2 шт. Ремонт выключателей 35 кВ (В 35 1Т)-1 шт.</v>
      </c>
      <c r="J715" s="489" t="s">
        <v>365</v>
      </c>
      <c r="K715" s="450">
        <v>44348</v>
      </c>
      <c r="L715" s="450">
        <v>44439</v>
      </c>
      <c r="M715" s="490"/>
      <c r="N715" s="490"/>
      <c r="O715" s="493"/>
      <c r="P715" s="493"/>
      <c r="Q715" s="493"/>
      <c r="R715" s="493"/>
      <c r="S715" s="493"/>
      <c r="T715" s="493"/>
      <c r="U715" s="493"/>
      <c r="V715" s="493"/>
      <c r="W715" s="493"/>
      <c r="X715" s="493"/>
      <c r="Y715" s="493"/>
      <c r="Z715" s="493"/>
      <c r="AA715" s="493"/>
      <c r="AB715" s="493"/>
      <c r="AC715" s="493"/>
      <c r="AD715" s="493"/>
      <c r="AE715" s="493"/>
      <c r="AF715" s="493"/>
      <c r="AG715" s="493"/>
      <c r="AH715" s="493"/>
      <c r="AI715" s="493"/>
      <c r="AJ715" s="493"/>
      <c r="AK715" s="493"/>
      <c r="AL715" s="493"/>
      <c r="AM715" s="493"/>
      <c r="AN715" s="493"/>
      <c r="AO715" s="493"/>
      <c r="AP715" s="493"/>
      <c r="AQ715" s="493"/>
      <c r="AR715" s="493"/>
      <c r="AS715" s="493"/>
      <c r="AT715" s="493"/>
      <c r="AU715" s="493"/>
      <c r="AV715" s="493"/>
      <c r="AW715" s="493"/>
      <c r="AX715" s="493"/>
      <c r="AY715" s="493"/>
      <c r="AZ715" s="493"/>
      <c r="BA715" s="493"/>
      <c r="BB715" s="493"/>
      <c r="BC715" s="493"/>
      <c r="BD715" s="493"/>
      <c r="BE715" s="493"/>
      <c r="BF715" s="493"/>
      <c r="BG715" s="493"/>
      <c r="BH715" s="493"/>
      <c r="BI715" s="493"/>
      <c r="BJ715" s="493"/>
      <c r="BK715" s="493"/>
      <c r="BL715" s="493"/>
      <c r="BM715" s="493"/>
      <c r="BN715" s="493"/>
      <c r="BO715" s="493"/>
      <c r="BP715" s="493"/>
      <c r="BQ715" s="493"/>
      <c r="BR715" s="493"/>
      <c r="BS715" s="493"/>
      <c r="BT715" s="493"/>
      <c r="BU715" s="493"/>
      <c r="BV715" s="493"/>
      <c r="BW715" s="493"/>
      <c r="BX715" s="493"/>
      <c r="BY715" s="493"/>
      <c r="BZ715" s="493"/>
      <c r="CA715" s="493"/>
      <c r="CB715" s="493"/>
      <c r="CC715" s="493"/>
      <c r="CD715" s="493"/>
      <c r="CE715" s="493"/>
      <c r="CF715" s="493"/>
      <c r="CG715" s="493"/>
      <c r="CH715" s="493"/>
      <c r="CI715" s="493"/>
      <c r="CJ715" s="493"/>
      <c r="CK715" s="493"/>
      <c r="CL715" s="493"/>
      <c r="CM715" s="493"/>
      <c r="CN715" s="493"/>
      <c r="CO715" s="493"/>
      <c r="CP715" s="493"/>
      <c r="CQ715" s="493"/>
      <c r="CR715" s="493"/>
      <c r="CS715" s="493"/>
      <c r="CT715" s="493"/>
      <c r="CU715" s="493"/>
      <c r="CV715" s="493"/>
      <c r="CW715" s="493"/>
      <c r="CX715" s="493"/>
      <c r="CY715" s="493"/>
      <c r="CZ715" s="493"/>
      <c r="DA715" s="493"/>
      <c r="DB715" s="493"/>
      <c r="DC715" s="493"/>
      <c r="DD715" s="493"/>
      <c r="DE715" s="493"/>
      <c r="DF715" s="493"/>
      <c r="DG715" s="493"/>
      <c r="DH715" s="493"/>
      <c r="DI715" s="493"/>
      <c r="DJ715" s="493"/>
      <c r="DK715" s="493"/>
      <c r="DL715" s="493"/>
      <c r="DM715" s="493"/>
      <c r="DN715" s="493"/>
      <c r="DO715" s="493"/>
      <c r="DP715" s="493"/>
      <c r="DQ715" s="493"/>
      <c r="DR715" s="493"/>
      <c r="DS715" s="493"/>
      <c r="DT715" s="493"/>
      <c r="DU715" s="493"/>
      <c r="DV715" s="493"/>
      <c r="DW715" s="493"/>
      <c r="DX715" s="493"/>
      <c r="DY715" s="493"/>
      <c r="DZ715" s="493"/>
    </row>
    <row r="716" spans="1:130" hidden="1" outlineLevel="2">
      <c r="A716" s="438"/>
      <c r="B716" s="490" t="s">
        <v>300</v>
      </c>
      <c r="C716" s="398" t="s">
        <v>607</v>
      </c>
      <c r="D716" s="399" t="s">
        <v>391</v>
      </c>
      <c r="E716" s="385"/>
      <c r="F716" s="396"/>
      <c r="G716" s="385"/>
      <c r="H716" s="385" t="s">
        <v>616</v>
      </c>
      <c r="I716" s="385" t="s">
        <v>189</v>
      </c>
      <c r="J716" s="489" t="s">
        <v>365</v>
      </c>
      <c r="K716" s="450">
        <v>44348</v>
      </c>
      <c r="L716" s="450">
        <v>44408</v>
      </c>
      <c r="M716" s="490" t="s">
        <v>37</v>
      </c>
      <c r="N716" s="490">
        <v>1</v>
      </c>
    </row>
    <row r="717" spans="1:130" ht="81" hidden="1" outlineLevel="2">
      <c r="A717" s="438"/>
      <c r="B717" s="490" t="s">
        <v>300</v>
      </c>
      <c r="C717" s="398" t="s">
        <v>607</v>
      </c>
      <c r="D717" s="399" t="s">
        <v>391</v>
      </c>
      <c r="E717" s="385"/>
      <c r="F717" s="385" t="s">
        <v>1470</v>
      </c>
      <c r="G717" s="385"/>
      <c r="H717" s="401" t="s">
        <v>1689</v>
      </c>
      <c r="I717" s="385" t="s">
        <v>967</v>
      </c>
      <c r="J717" s="489" t="s">
        <v>365</v>
      </c>
      <c r="K717" s="450">
        <v>44348</v>
      </c>
      <c r="L717" s="450">
        <v>44439</v>
      </c>
      <c r="M717" s="490" t="s">
        <v>37</v>
      </c>
      <c r="N717" s="490">
        <v>2</v>
      </c>
    </row>
    <row r="718" spans="1:130" s="405" customFormat="1" ht="40.5" outlineLevel="1" collapsed="1">
      <c r="A718" s="489" t="s">
        <v>1763</v>
      </c>
      <c r="B718" s="490" t="s">
        <v>300</v>
      </c>
      <c r="C718" s="398" t="s">
        <v>607</v>
      </c>
      <c r="D718" s="399" t="s">
        <v>391</v>
      </c>
      <c r="E718" s="490" t="s">
        <v>629</v>
      </c>
      <c r="F718" s="385" t="s">
        <v>810</v>
      </c>
      <c r="G718" s="385"/>
      <c r="H718" s="401" t="s">
        <v>630</v>
      </c>
      <c r="I718" s="385" t="str">
        <f>CONCATENATE(I720," ","(",H720,")","-",N720," ",M720," ",I719," ","(",H719,")","-",N719," ",M719)</f>
        <v>Замена ОПН, разрядников 6-10 кВ (РВП-10 на ОПН-10)-3 шт. Ремонт разъединителя 35 кВ (ЛР 35 Т-71)-1 шт.</v>
      </c>
      <c r="J718" s="489" t="s">
        <v>365</v>
      </c>
      <c r="K718" s="450">
        <v>44348</v>
      </c>
      <c r="L718" s="450">
        <v>44469</v>
      </c>
      <c r="M718" s="490"/>
      <c r="N718" s="490"/>
      <c r="O718" s="493"/>
      <c r="P718" s="493"/>
      <c r="Q718" s="493"/>
      <c r="R718" s="493"/>
      <c r="S718" s="493"/>
      <c r="T718" s="493"/>
      <c r="U718" s="493"/>
      <c r="V718" s="493"/>
      <c r="W718" s="493"/>
      <c r="X718" s="493"/>
      <c r="Y718" s="493"/>
      <c r="Z718" s="493"/>
      <c r="AA718" s="493"/>
      <c r="AB718" s="493"/>
      <c r="AC718" s="493"/>
      <c r="AD718" s="493"/>
      <c r="AE718" s="493"/>
      <c r="AF718" s="493"/>
      <c r="AG718" s="493"/>
      <c r="AH718" s="493"/>
      <c r="AI718" s="493"/>
      <c r="AJ718" s="493"/>
      <c r="AK718" s="493"/>
      <c r="AL718" s="493"/>
      <c r="AM718" s="493"/>
      <c r="AN718" s="493"/>
      <c r="AO718" s="493"/>
      <c r="AP718" s="493"/>
      <c r="AQ718" s="493"/>
      <c r="AR718" s="493"/>
      <c r="AS718" s="493"/>
      <c r="AT718" s="493"/>
      <c r="AU718" s="493"/>
      <c r="AV718" s="493"/>
      <c r="AW718" s="493"/>
      <c r="AX718" s="493"/>
      <c r="AY718" s="493"/>
      <c r="AZ718" s="493"/>
      <c r="BA718" s="493"/>
      <c r="BB718" s="493"/>
      <c r="BC718" s="493"/>
      <c r="BD718" s="493"/>
      <c r="BE718" s="493"/>
      <c r="BF718" s="493"/>
      <c r="BG718" s="493"/>
      <c r="BH718" s="493"/>
      <c r="BI718" s="493"/>
      <c r="BJ718" s="493"/>
      <c r="BK718" s="493"/>
      <c r="BL718" s="493"/>
      <c r="BM718" s="493"/>
      <c r="BN718" s="493"/>
      <c r="BO718" s="493"/>
      <c r="BP718" s="493"/>
      <c r="BQ718" s="493"/>
      <c r="BR718" s="493"/>
      <c r="BS718" s="493"/>
      <c r="BT718" s="493"/>
      <c r="BU718" s="493"/>
      <c r="BV718" s="493"/>
      <c r="BW718" s="493"/>
      <c r="BX718" s="493"/>
      <c r="BY718" s="493"/>
      <c r="BZ718" s="493"/>
      <c r="CA718" s="493"/>
      <c r="CB718" s="493"/>
      <c r="CC718" s="493"/>
      <c r="CD718" s="493"/>
      <c r="CE718" s="493"/>
      <c r="CF718" s="493"/>
      <c r="CG718" s="493"/>
      <c r="CH718" s="493"/>
      <c r="CI718" s="493"/>
      <c r="CJ718" s="493"/>
      <c r="CK718" s="493"/>
      <c r="CL718" s="493"/>
      <c r="CM718" s="493"/>
      <c r="CN718" s="493"/>
      <c r="CO718" s="493"/>
      <c r="CP718" s="493"/>
      <c r="CQ718" s="493"/>
      <c r="CR718" s="493"/>
      <c r="CS718" s="493"/>
      <c r="CT718" s="493"/>
      <c r="CU718" s="493"/>
      <c r="CV718" s="493"/>
      <c r="CW718" s="493"/>
      <c r="CX718" s="493"/>
      <c r="CY718" s="493"/>
      <c r="CZ718" s="493"/>
      <c r="DA718" s="493"/>
      <c r="DB718" s="493"/>
      <c r="DC718" s="493"/>
      <c r="DD718" s="493"/>
      <c r="DE718" s="493"/>
      <c r="DF718" s="493"/>
      <c r="DG718" s="493"/>
      <c r="DH718" s="493"/>
      <c r="DI718" s="493"/>
      <c r="DJ718" s="493"/>
      <c r="DK718" s="493"/>
      <c r="DL718" s="493"/>
      <c r="DM718" s="493"/>
      <c r="DN718" s="493"/>
      <c r="DO718" s="493"/>
      <c r="DP718" s="493"/>
      <c r="DQ718" s="493"/>
      <c r="DR718" s="493"/>
      <c r="DS718" s="493"/>
      <c r="DT718" s="493"/>
      <c r="DU718" s="493"/>
      <c r="DV718" s="493"/>
      <c r="DW718" s="493"/>
      <c r="DX718" s="493"/>
      <c r="DY718" s="493"/>
      <c r="DZ718" s="493"/>
    </row>
    <row r="719" spans="1:130" hidden="1" outlineLevel="2">
      <c r="A719" s="438"/>
      <c r="B719" s="490" t="s">
        <v>300</v>
      </c>
      <c r="C719" s="398" t="s">
        <v>607</v>
      </c>
      <c r="D719" s="399" t="s">
        <v>391</v>
      </c>
      <c r="E719" s="385"/>
      <c r="F719" s="385"/>
      <c r="G719" s="385"/>
      <c r="H719" s="385" t="s">
        <v>631</v>
      </c>
      <c r="I719" s="385" t="s">
        <v>493</v>
      </c>
      <c r="J719" s="489" t="s">
        <v>365</v>
      </c>
      <c r="K719" s="412"/>
      <c r="L719" s="412"/>
      <c r="M719" s="490" t="s">
        <v>37</v>
      </c>
      <c r="N719" s="490">
        <v>1</v>
      </c>
    </row>
    <row r="720" spans="1:130" hidden="1" outlineLevel="2">
      <c r="A720" s="438"/>
      <c r="B720" s="490" t="s">
        <v>300</v>
      </c>
      <c r="C720" s="398" t="s">
        <v>607</v>
      </c>
      <c r="D720" s="399" t="s">
        <v>391</v>
      </c>
      <c r="E720" s="385"/>
      <c r="F720" s="385"/>
      <c r="G720" s="385"/>
      <c r="H720" s="385" t="s">
        <v>632</v>
      </c>
      <c r="I720" s="385" t="s">
        <v>232</v>
      </c>
      <c r="J720" s="489" t="s">
        <v>365</v>
      </c>
      <c r="K720" s="412"/>
      <c r="L720" s="412"/>
      <c r="M720" s="490" t="s">
        <v>37</v>
      </c>
      <c r="N720" s="490">
        <v>3</v>
      </c>
    </row>
    <row r="721" spans="1:130" s="405" customFormat="1" ht="40.5" outlineLevel="1" collapsed="1">
      <c r="A721" s="489" t="s">
        <v>1764</v>
      </c>
      <c r="B721" s="490" t="s">
        <v>300</v>
      </c>
      <c r="C721" s="398" t="s">
        <v>520</v>
      </c>
      <c r="D721" s="399" t="s">
        <v>391</v>
      </c>
      <c r="E721" s="490" t="s">
        <v>521</v>
      </c>
      <c r="F721" s="385" t="s">
        <v>1215</v>
      </c>
      <c r="G721" s="385"/>
      <c r="H721" s="401" t="s">
        <v>546</v>
      </c>
      <c r="I721" s="385" t="str">
        <f>CONCATENATE(I722,"  ","(",H722,")","-",N722," ",M722," ",I723," ","(",H723,")","-",N723," ",M723)</f>
        <v>Замена трансформаторов тока 6-10 кВ  (ТЛМ-10)-2 шт. Ремонт блокировок ()-7 шт.</v>
      </c>
      <c r="J721" s="489" t="s">
        <v>365</v>
      </c>
      <c r="K721" s="450">
        <v>44470</v>
      </c>
      <c r="L721" s="450">
        <v>44500</v>
      </c>
      <c r="M721" s="490"/>
      <c r="N721" s="490"/>
      <c r="O721" s="493"/>
      <c r="P721" s="493"/>
      <c r="Q721" s="493"/>
      <c r="R721" s="493"/>
      <c r="S721" s="493"/>
      <c r="T721" s="493"/>
      <c r="U721" s="493"/>
      <c r="V721" s="493"/>
      <c r="W721" s="493"/>
      <c r="X721" s="493"/>
      <c r="Y721" s="493"/>
      <c r="Z721" s="493"/>
      <c r="AA721" s="493"/>
      <c r="AB721" s="493"/>
      <c r="AC721" s="493"/>
      <c r="AD721" s="493"/>
      <c r="AE721" s="493"/>
      <c r="AF721" s="493"/>
      <c r="AG721" s="493"/>
      <c r="AH721" s="493"/>
      <c r="AI721" s="493"/>
      <c r="AJ721" s="493"/>
      <c r="AK721" s="493"/>
      <c r="AL721" s="493"/>
      <c r="AM721" s="493"/>
      <c r="AN721" s="493"/>
      <c r="AO721" s="493"/>
      <c r="AP721" s="493"/>
      <c r="AQ721" s="493"/>
      <c r="AR721" s="493"/>
      <c r="AS721" s="493"/>
      <c r="AT721" s="493"/>
      <c r="AU721" s="493"/>
      <c r="AV721" s="493"/>
      <c r="AW721" s="493"/>
      <c r="AX721" s="493"/>
      <c r="AY721" s="493"/>
      <c r="AZ721" s="493"/>
      <c r="BA721" s="493"/>
      <c r="BB721" s="493"/>
      <c r="BC721" s="493"/>
      <c r="BD721" s="493"/>
      <c r="BE721" s="493"/>
      <c r="BF721" s="493"/>
      <c r="BG721" s="493"/>
      <c r="BH721" s="493"/>
      <c r="BI721" s="493"/>
      <c r="BJ721" s="493"/>
      <c r="BK721" s="493"/>
      <c r="BL721" s="493"/>
      <c r="BM721" s="493"/>
      <c r="BN721" s="493"/>
      <c r="BO721" s="493"/>
      <c r="BP721" s="493"/>
      <c r="BQ721" s="493"/>
      <c r="BR721" s="493"/>
      <c r="BS721" s="493"/>
      <c r="BT721" s="493"/>
      <c r="BU721" s="493"/>
      <c r="BV721" s="493"/>
      <c r="BW721" s="493"/>
      <c r="BX721" s="493"/>
      <c r="BY721" s="493"/>
      <c r="BZ721" s="493"/>
      <c r="CA721" s="493"/>
      <c r="CB721" s="493"/>
      <c r="CC721" s="493"/>
      <c r="CD721" s="493"/>
      <c r="CE721" s="493"/>
      <c r="CF721" s="493"/>
      <c r="CG721" s="493"/>
      <c r="CH721" s="493"/>
      <c r="CI721" s="493"/>
      <c r="CJ721" s="493"/>
      <c r="CK721" s="493"/>
      <c r="CL721" s="493"/>
      <c r="CM721" s="493"/>
      <c r="CN721" s="493"/>
      <c r="CO721" s="493"/>
      <c r="CP721" s="493"/>
      <c r="CQ721" s="493"/>
      <c r="CR721" s="493"/>
      <c r="CS721" s="493"/>
      <c r="CT721" s="493"/>
      <c r="CU721" s="493"/>
      <c r="CV721" s="493"/>
      <c r="CW721" s="493"/>
      <c r="CX721" s="493"/>
      <c r="CY721" s="493"/>
      <c r="CZ721" s="493"/>
      <c r="DA721" s="493"/>
      <c r="DB721" s="493"/>
      <c r="DC721" s="493"/>
      <c r="DD721" s="493"/>
      <c r="DE721" s="493"/>
      <c r="DF721" s="493"/>
      <c r="DG721" s="493"/>
      <c r="DH721" s="493"/>
      <c r="DI721" s="493"/>
      <c r="DJ721" s="493"/>
      <c r="DK721" s="493"/>
      <c r="DL721" s="493"/>
      <c r="DM721" s="493"/>
      <c r="DN721" s="493"/>
      <c r="DO721" s="493"/>
      <c r="DP721" s="493"/>
      <c r="DQ721" s="493"/>
      <c r="DR721" s="493"/>
      <c r="DS721" s="493"/>
      <c r="DT721" s="493"/>
      <c r="DU721" s="493"/>
      <c r="DV721" s="493"/>
      <c r="DW721" s="493"/>
      <c r="DX721" s="493"/>
      <c r="DY721" s="493"/>
      <c r="DZ721" s="493"/>
    </row>
    <row r="722" spans="1:130" hidden="1" outlineLevel="2">
      <c r="A722" s="438"/>
      <c r="B722" s="490" t="s">
        <v>300</v>
      </c>
      <c r="C722" s="398" t="s">
        <v>520</v>
      </c>
      <c r="D722" s="399" t="s">
        <v>391</v>
      </c>
      <c r="E722" s="385"/>
      <c r="F722" s="396"/>
      <c r="G722" s="385"/>
      <c r="H722" s="385" t="s">
        <v>522</v>
      </c>
      <c r="I722" s="385" t="s">
        <v>967</v>
      </c>
      <c r="J722" s="489" t="s">
        <v>365</v>
      </c>
      <c r="K722" s="412"/>
      <c r="L722" s="412"/>
      <c r="M722" s="490" t="s">
        <v>37</v>
      </c>
      <c r="N722" s="490">
        <v>2</v>
      </c>
    </row>
    <row r="723" spans="1:130" hidden="1" outlineLevel="2">
      <c r="A723" s="438"/>
      <c r="B723" s="490"/>
      <c r="C723" s="398"/>
      <c r="D723" s="399"/>
      <c r="E723" s="385"/>
      <c r="F723" s="400"/>
      <c r="G723" s="385"/>
      <c r="H723" s="401"/>
      <c r="I723" s="385" t="s">
        <v>3371</v>
      </c>
      <c r="J723" s="489"/>
      <c r="K723" s="412"/>
      <c r="L723" s="412"/>
      <c r="M723" s="490" t="s">
        <v>37</v>
      </c>
      <c r="N723" s="490">
        <v>7</v>
      </c>
    </row>
    <row r="724" spans="1:130" s="384" customFormat="1" ht="81" outlineLevel="1" collapsed="1">
      <c r="A724" s="489" t="s">
        <v>1370</v>
      </c>
      <c r="B724" s="490" t="s">
        <v>300</v>
      </c>
      <c r="C724" s="398" t="s">
        <v>520</v>
      </c>
      <c r="D724" s="399" t="s">
        <v>391</v>
      </c>
      <c r="E724" s="490" t="s">
        <v>1696</v>
      </c>
      <c r="F724" s="385" t="s">
        <v>1470</v>
      </c>
      <c r="G724" s="385"/>
      <c r="H724" s="385" t="s">
        <v>1823</v>
      </c>
      <c r="I724" s="385" t="str">
        <f>CONCATENATE(I725,"  ","(",H725,")","-",N725," ",M725," ",I726," ","(",H726,")","-",N726," ",M726)</f>
        <v>Замена трансформаторов тока 6-10 кВ  (Яч. 13 А, С)-2 шт. Ремонт блокировок ()-16 шт.</v>
      </c>
      <c r="J724" s="489" t="s">
        <v>365</v>
      </c>
      <c r="K724" s="450">
        <v>44348</v>
      </c>
      <c r="L724" s="450">
        <v>44439</v>
      </c>
      <c r="M724" s="490"/>
      <c r="N724" s="490"/>
    </row>
    <row r="725" spans="1:130" hidden="1" outlineLevel="2">
      <c r="A725" s="438"/>
      <c r="B725" s="490" t="s">
        <v>300</v>
      </c>
      <c r="C725" s="398"/>
      <c r="D725" s="399"/>
      <c r="E725" s="385"/>
      <c r="F725" s="400"/>
      <c r="G725" s="385"/>
      <c r="H725" s="401" t="s">
        <v>1690</v>
      </c>
      <c r="I725" s="385" t="s">
        <v>967</v>
      </c>
      <c r="J725" s="489" t="s">
        <v>365</v>
      </c>
      <c r="K725" s="412"/>
      <c r="L725" s="412"/>
      <c r="M725" s="490" t="s">
        <v>37</v>
      </c>
      <c r="N725" s="490">
        <v>2</v>
      </c>
    </row>
    <row r="726" spans="1:130" hidden="1" outlineLevel="2">
      <c r="A726" s="438"/>
      <c r="B726" s="490"/>
      <c r="C726" s="398"/>
      <c r="D726" s="399"/>
      <c r="E726" s="385"/>
      <c r="F726" s="400"/>
      <c r="G726" s="385"/>
      <c r="H726" s="401"/>
      <c r="I726" s="385" t="s">
        <v>3371</v>
      </c>
      <c r="J726" s="489"/>
      <c r="K726" s="412"/>
      <c r="L726" s="412"/>
      <c r="M726" s="490" t="s">
        <v>37</v>
      </c>
      <c r="N726" s="490">
        <v>16</v>
      </c>
    </row>
    <row r="727" spans="1:130" s="384" customFormat="1" ht="81.75" customHeight="1" outlineLevel="1" collapsed="1">
      <c r="A727" s="489" t="s">
        <v>1371</v>
      </c>
      <c r="B727" s="490" t="s">
        <v>300</v>
      </c>
      <c r="C727" s="398" t="s">
        <v>520</v>
      </c>
      <c r="D727" s="399" t="s">
        <v>391</v>
      </c>
      <c r="E727" s="490" t="s">
        <v>1697</v>
      </c>
      <c r="F727" s="385" t="s">
        <v>1470</v>
      </c>
      <c r="G727" s="385"/>
      <c r="H727" s="385" t="s">
        <v>712</v>
      </c>
      <c r="I727" s="385" t="str">
        <f>CONCATENATE(I728," ","(",H728,")","-",N728," ",M728,)</f>
        <v>Замена трансформаторов тока 6-10 кВ (Яч. 1 А, С , Яч. 6 А, С , Яч. 7 А, С )-6 шт.</v>
      </c>
      <c r="J727" s="489" t="s">
        <v>365</v>
      </c>
      <c r="K727" s="450">
        <v>44348</v>
      </c>
      <c r="L727" s="450">
        <v>44439</v>
      </c>
      <c r="M727" s="490"/>
      <c r="N727" s="490"/>
    </row>
    <row r="728" spans="1:130" hidden="1" outlineLevel="2">
      <c r="A728" s="438"/>
      <c r="B728" s="490" t="s">
        <v>300</v>
      </c>
      <c r="C728" s="398"/>
      <c r="D728" s="399"/>
      <c r="E728" s="385"/>
      <c r="F728" s="400"/>
      <c r="G728" s="385"/>
      <c r="H728" s="401" t="s">
        <v>1691</v>
      </c>
      <c r="I728" s="385" t="s">
        <v>967</v>
      </c>
      <c r="J728" s="489" t="s">
        <v>365</v>
      </c>
      <c r="K728" s="412"/>
      <c r="L728" s="412"/>
      <c r="M728" s="490" t="s">
        <v>37</v>
      </c>
      <c r="N728" s="490">
        <v>6</v>
      </c>
    </row>
    <row r="729" spans="1:130" s="384" customFormat="1" ht="57" customHeight="1" outlineLevel="1" collapsed="1">
      <c r="A729" s="489" t="s">
        <v>1372</v>
      </c>
      <c r="B729" s="490" t="s">
        <v>300</v>
      </c>
      <c r="C729" s="398" t="s">
        <v>520</v>
      </c>
      <c r="D729" s="399" t="s">
        <v>391</v>
      </c>
      <c r="E729" s="490" t="s">
        <v>1698</v>
      </c>
      <c r="F729" s="385" t="s">
        <v>1470</v>
      </c>
      <c r="G729" s="385"/>
      <c r="H729" s="385" t="s">
        <v>968</v>
      </c>
      <c r="I729" s="385" t="str">
        <f>CONCATENATE(I730," ","(",H730,")","-",N730," ",M730,)</f>
        <v>Замена трансформаторов тока 6-10 кВ ( Яч. 1 А, С )-2 шт.</v>
      </c>
      <c r="J729" s="489" t="s">
        <v>365</v>
      </c>
      <c r="K729" s="450">
        <v>44348</v>
      </c>
      <c r="L729" s="450">
        <v>44439</v>
      </c>
      <c r="M729" s="490"/>
      <c r="N729" s="490"/>
    </row>
    <row r="730" spans="1:130" hidden="1" outlineLevel="2">
      <c r="A730" s="438"/>
      <c r="B730" s="490" t="s">
        <v>300</v>
      </c>
      <c r="C730" s="398"/>
      <c r="D730" s="399"/>
      <c r="E730" s="385"/>
      <c r="F730" s="400"/>
      <c r="G730" s="385"/>
      <c r="H730" s="401" t="s">
        <v>3725</v>
      </c>
      <c r="I730" s="385" t="s">
        <v>967</v>
      </c>
      <c r="J730" s="489" t="s">
        <v>365</v>
      </c>
      <c r="K730" s="412"/>
      <c r="L730" s="412"/>
      <c r="M730" s="490" t="s">
        <v>37</v>
      </c>
      <c r="N730" s="490">
        <v>2</v>
      </c>
    </row>
    <row r="731" spans="1:130" s="384" customFormat="1" ht="81" outlineLevel="1" collapsed="1">
      <c r="A731" s="489" t="s">
        <v>1373</v>
      </c>
      <c r="B731" s="490" t="s">
        <v>300</v>
      </c>
      <c r="C731" s="398" t="s">
        <v>578</v>
      </c>
      <c r="D731" s="399" t="s">
        <v>391</v>
      </c>
      <c r="E731" s="490" t="s">
        <v>3726</v>
      </c>
      <c r="F731" s="385" t="s">
        <v>1470</v>
      </c>
      <c r="G731" s="385"/>
      <c r="H731" s="385" t="s">
        <v>3727</v>
      </c>
      <c r="I731" s="385" t="str">
        <f>CONCATENATE(I732," ","(",H732,")","-",N732," ",M732,)</f>
        <v>Замена трансформаторов тока 6-10 кВ (Яч.  12 А,С, 5 А,С.)-4 шт.</v>
      </c>
      <c r="J731" s="489" t="s">
        <v>365</v>
      </c>
      <c r="K731" s="450">
        <v>44348</v>
      </c>
      <c r="L731" s="450">
        <v>44439</v>
      </c>
      <c r="M731" s="490"/>
      <c r="N731" s="490"/>
    </row>
    <row r="732" spans="1:130" hidden="1" outlineLevel="2">
      <c r="A732" s="438"/>
      <c r="B732" s="490" t="s">
        <v>300</v>
      </c>
      <c r="C732" s="398"/>
      <c r="D732" s="399"/>
      <c r="E732" s="385"/>
      <c r="F732" s="400"/>
      <c r="G732" s="385"/>
      <c r="H732" s="401" t="s">
        <v>3728</v>
      </c>
      <c r="I732" s="385" t="s">
        <v>967</v>
      </c>
      <c r="J732" s="489" t="s">
        <v>365</v>
      </c>
      <c r="K732" s="412"/>
      <c r="L732" s="412"/>
      <c r="M732" s="490" t="s">
        <v>37</v>
      </c>
      <c r="N732" s="490">
        <v>4</v>
      </c>
    </row>
    <row r="733" spans="1:130" s="493" customFormat="1" ht="81" outlineLevel="1" collapsed="1">
      <c r="A733" s="489" t="s">
        <v>1374</v>
      </c>
      <c r="B733" s="490" t="s">
        <v>300</v>
      </c>
      <c r="C733" s="398" t="s">
        <v>578</v>
      </c>
      <c r="D733" s="399" t="s">
        <v>391</v>
      </c>
      <c r="E733" s="490" t="s">
        <v>584</v>
      </c>
      <c r="F733" s="385" t="s">
        <v>810</v>
      </c>
      <c r="G733" s="385"/>
      <c r="H733" s="401" t="s">
        <v>1590</v>
      </c>
      <c r="I733" s="385" t="str">
        <f>CONCATENATE(I734," ","(",H734,")","-",N734," ",M734," ",I735,"  ","(",H735,")","-",N735," ",M735," ",I736," ","(",H736,")","-",N736," ",M736," ",)</f>
        <v xml:space="preserve">Ремонт разъединителя 35 кВ (РНДЗ-2-35/1000  ПРН-220 М ШР 35 1Т )-1 шт. Замена опорно-стержневых изоляторов разъединителей 35 кВ  (ШР 35 1Т)-6 шт. Замена трансформаторов тока 6-10 кВ (Яч.  1 А,С)-2 шт. </v>
      </c>
      <c r="J733" s="489" t="s">
        <v>365</v>
      </c>
      <c r="K733" s="450">
        <v>44317</v>
      </c>
      <c r="L733" s="450">
        <v>44439</v>
      </c>
      <c r="M733" s="490"/>
      <c r="N733" s="490"/>
    </row>
    <row r="734" spans="1:130" ht="30" hidden="1" customHeight="1" outlineLevel="2">
      <c r="A734" s="438"/>
      <c r="B734" s="490" t="s">
        <v>300</v>
      </c>
      <c r="C734" s="398" t="s">
        <v>578</v>
      </c>
      <c r="D734" s="399" t="s">
        <v>391</v>
      </c>
      <c r="E734" s="385"/>
      <c r="F734" s="396"/>
      <c r="G734" s="385"/>
      <c r="H734" s="385" t="s">
        <v>585</v>
      </c>
      <c r="I734" s="385" t="s">
        <v>493</v>
      </c>
      <c r="J734" s="489" t="s">
        <v>365</v>
      </c>
      <c r="K734" s="412"/>
      <c r="L734" s="412"/>
      <c r="M734" s="490" t="s">
        <v>37</v>
      </c>
      <c r="N734" s="490">
        <v>1</v>
      </c>
    </row>
    <row r="735" spans="1:130" ht="30" hidden="1" customHeight="1" outlineLevel="2">
      <c r="A735" s="438"/>
      <c r="B735" s="490" t="s">
        <v>300</v>
      </c>
      <c r="C735" s="398" t="s">
        <v>578</v>
      </c>
      <c r="D735" s="399" t="s">
        <v>391</v>
      </c>
      <c r="E735" s="385"/>
      <c r="F735" s="396"/>
      <c r="G735" s="385"/>
      <c r="H735" s="385" t="s">
        <v>586</v>
      </c>
      <c r="I735" s="385" t="s">
        <v>204</v>
      </c>
      <c r="J735" s="489" t="s">
        <v>365</v>
      </c>
      <c r="K735" s="412"/>
      <c r="L735" s="412"/>
      <c r="M735" s="490" t="s">
        <v>37</v>
      </c>
      <c r="N735" s="490">
        <v>6</v>
      </c>
    </row>
    <row r="736" spans="1:130" hidden="1" outlineLevel="2">
      <c r="A736" s="438"/>
      <c r="B736" s="490" t="s">
        <v>300</v>
      </c>
      <c r="C736" s="398"/>
      <c r="D736" s="399"/>
      <c r="E736" s="385"/>
      <c r="F736" s="400"/>
      <c r="G736" s="385"/>
      <c r="H736" s="401" t="s">
        <v>3729</v>
      </c>
      <c r="I736" s="385" t="s">
        <v>967</v>
      </c>
      <c r="J736" s="489" t="s">
        <v>365</v>
      </c>
      <c r="K736" s="412"/>
      <c r="L736" s="412"/>
      <c r="M736" s="490" t="s">
        <v>37</v>
      </c>
      <c r="N736" s="490">
        <v>2</v>
      </c>
    </row>
    <row r="737" spans="1:130" s="405" customFormat="1" ht="140.25" customHeight="1" outlineLevel="1" collapsed="1">
      <c r="A737" s="489" t="s">
        <v>1375</v>
      </c>
      <c r="B737" s="490" t="s">
        <v>300</v>
      </c>
      <c r="C737" s="398" t="s">
        <v>578</v>
      </c>
      <c r="D737" s="399" t="s">
        <v>391</v>
      </c>
      <c r="E737" s="490" t="s">
        <v>596</v>
      </c>
      <c r="F737" s="385" t="s">
        <v>1745</v>
      </c>
      <c r="G737" s="385"/>
      <c r="H737" s="401" t="s">
        <v>595</v>
      </c>
      <c r="I737" s="385" t="str">
        <f>CONCATENATE(I738," ","(",H738,")","-",N738," ",M738," ",I739,"  ","(",H739,")","-",N739," ",M739,"-",I740," ","(",H740,")","-",N740," ",M740)</f>
        <v>Ремонт разъединителя 35 кВ (РНДЗ-2-35/1000  ПРН-220 М)-6 шт. Замена привода выключателей 6-10 кВ  (КРУН 6 яч.7, В 6 яч.7 , КРУН 6 яч.3, В 6 1Т, КРУН 6 яч.15, В 6 2Т )-3 шт.-Замена ОПН, разрядников 35 кВ (РВС 35 1Т, РВС 35 2Т на ОПН 35)-2 шт.</v>
      </c>
      <c r="J737" s="489" t="s">
        <v>365</v>
      </c>
      <c r="K737" s="450">
        <v>44378</v>
      </c>
      <c r="L737" s="450">
        <v>44439</v>
      </c>
      <c r="M737" s="490"/>
      <c r="N737" s="490"/>
      <c r="O737" s="493"/>
      <c r="P737" s="493"/>
      <c r="Q737" s="493"/>
      <c r="R737" s="493"/>
      <c r="S737" s="493"/>
      <c r="T737" s="493"/>
      <c r="U737" s="493"/>
      <c r="V737" s="493"/>
      <c r="W737" s="493"/>
      <c r="X737" s="493"/>
      <c r="Y737" s="493"/>
      <c r="Z737" s="493"/>
      <c r="AA737" s="493"/>
      <c r="AB737" s="493"/>
      <c r="AC737" s="493"/>
      <c r="AD737" s="493"/>
      <c r="AE737" s="493"/>
      <c r="AF737" s="493"/>
      <c r="AG737" s="493"/>
      <c r="AH737" s="493"/>
      <c r="AI737" s="493"/>
      <c r="AJ737" s="493"/>
      <c r="AK737" s="493"/>
      <c r="AL737" s="493"/>
      <c r="AM737" s="493"/>
      <c r="AN737" s="493"/>
      <c r="AO737" s="493"/>
      <c r="AP737" s="493"/>
      <c r="AQ737" s="493"/>
      <c r="AR737" s="493"/>
      <c r="AS737" s="493"/>
      <c r="AT737" s="493"/>
      <c r="AU737" s="493"/>
      <c r="AV737" s="493"/>
      <c r="AW737" s="493"/>
      <c r="AX737" s="493"/>
      <c r="AY737" s="493"/>
      <c r="AZ737" s="493"/>
      <c r="BA737" s="493"/>
      <c r="BB737" s="493"/>
      <c r="BC737" s="493"/>
      <c r="BD737" s="493"/>
      <c r="BE737" s="493"/>
      <c r="BF737" s="493"/>
      <c r="BG737" s="493"/>
      <c r="BH737" s="493"/>
      <c r="BI737" s="493"/>
      <c r="BJ737" s="493"/>
      <c r="BK737" s="493"/>
      <c r="BL737" s="493"/>
      <c r="BM737" s="493"/>
      <c r="BN737" s="493"/>
      <c r="BO737" s="493"/>
      <c r="BP737" s="493"/>
      <c r="BQ737" s="493"/>
      <c r="BR737" s="493"/>
      <c r="BS737" s="493"/>
      <c r="BT737" s="493"/>
      <c r="BU737" s="493"/>
      <c r="BV737" s="493"/>
      <c r="BW737" s="493"/>
      <c r="BX737" s="493"/>
      <c r="BY737" s="493"/>
      <c r="BZ737" s="493"/>
      <c r="CA737" s="493"/>
      <c r="CB737" s="493"/>
      <c r="CC737" s="493"/>
      <c r="CD737" s="493"/>
      <c r="CE737" s="493"/>
      <c r="CF737" s="493"/>
      <c r="CG737" s="493"/>
      <c r="CH737" s="493"/>
      <c r="CI737" s="493"/>
      <c r="CJ737" s="493"/>
      <c r="CK737" s="493"/>
      <c r="CL737" s="493"/>
      <c r="CM737" s="493"/>
      <c r="CN737" s="493"/>
      <c r="CO737" s="493"/>
      <c r="CP737" s="493"/>
      <c r="CQ737" s="493"/>
      <c r="CR737" s="493"/>
      <c r="CS737" s="493"/>
      <c r="CT737" s="493"/>
      <c r="CU737" s="493"/>
      <c r="CV737" s="493"/>
      <c r="CW737" s="493"/>
      <c r="CX737" s="493"/>
      <c r="CY737" s="493"/>
      <c r="CZ737" s="493"/>
      <c r="DA737" s="493"/>
      <c r="DB737" s="493"/>
      <c r="DC737" s="493"/>
      <c r="DD737" s="493"/>
      <c r="DE737" s="493"/>
      <c r="DF737" s="493"/>
      <c r="DG737" s="493"/>
      <c r="DH737" s="493"/>
      <c r="DI737" s="493"/>
      <c r="DJ737" s="493"/>
      <c r="DK737" s="493"/>
      <c r="DL737" s="493"/>
      <c r="DM737" s="493"/>
      <c r="DN737" s="493"/>
      <c r="DO737" s="493"/>
      <c r="DP737" s="493"/>
      <c r="DQ737" s="493"/>
      <c r="DR737" s="493"/>
      <c r="DS737" s="493"/>
      <c r="DT737" s="493"/>
      <c r="DU737" s="493"/>
      <c r="DV737" s="493"/>
      <c r="DW737" s="493"/>
      <c r="DX737" s="493"/>
      <c r="DY737" s="493"/>
      <c r="DZ737" s="493"/>
    </row>
    <row r="738" spans="1:130" hidden="1" outlineLevel="2">
      <c r="A738" s="438"/>
      <c r="B738" s="490" t="s">
        <v>300</v>
      </c>
      <c r="C738" s="398" t="s">
        <v>578</v>
      </c>
      <c r="D738" s="399" t="s">
        <v>391</v>
      </c>
      <c r="E738" s="385"/>
      <c r="F738" s="385"/>
      <c r="G738" s="385"/>
      <c r="H738" s="385" t="s">
        <v>604</v>
      </c>
      <c r="I738" s="385" t="s">
        <v>493</v>
      </c>
      <c r="J738" s="489" t="s">
        <v>365</v>
      </c>
      <c r="K738" s="412"/>
      <c r="L738" s="412"/>
      <c r="M738" s="490" t="s">
        <v>37</v>
      </c>
      <c r="N738" s="490">
        <v>6</v>
      </c>
    </row>
    <row r="739" spans="1:130" ht="40.5" hidden="1" outlineLevel="2">
      <c r="A739" s="438"/>
      <c r="B739" s="490" t="s">
        <v>300</v>
      </c>
      <c r="C739" s="398" t="s">
        <v>578</v>
      </c>
      <c r="D739" s="399" t="s">
        <v>391</v>
      </c>
      <c r="E739" s="385"/>
      <c r="F739" s="385"/>
      <c r="G739" s="385"/>
      <c r="H739" s="385" t="s">
        <v>606</v>
      </c>
      <c r="I739" s="385" t="s">
        <v>603</v>
      </c>
      <c r="J739" s="489" t="s">
        <v>365</v>
      </c>
      <c r="K739" s="412"/>
      <c r="L739" s="412"/>
      <c r="M739" s="490" t="s">
        <v>37</v>
      </c>
      <c r="N739" s="490">
        <v>3</v>
      </c>
    </row>
    <row r="740" spans="1:130" hidden="1" outlineLevel="2">
      <c r="A740" s="438"/>
      <c r="B740" s="490" t="s">
        <v>300</v>
      </c>
      <c r="C740" s="398" t="s">
        <v>578</v>
      </c>
      <c r="D740" s="399" t="s">
        <v>391</v>
      </c>
      <c r="E740" s="385"/>
      <c r="F740" s="385"/>
      <c r="G740" s="385"/>
      <c r="H740" s="385" t="s">
        <v>605</v>
      </c>
      <c r="I740" s="385" t="s">
        <v>231</v>
      </c>
      <c r="J740" s="489" t="s">
        <v>365</v>
      </c>
      <c r="K740" s="412"/>
      <c r="L740" s="412"/>
      <c r="M740" s="490" t="s">
        <v>37</v>
      </c>
      <c r="N740" s="490">
        <v>2</v>
      </c>
    </row>
    <row r="741" spans="1:130" s="384" customFormat="1" ht="81" outlineLevel="1" collapsed="1">
      <c r="A741" s="489" t="s">
        <v>1376</v>
      </c>
      <c r="B741" s="490" t="s">
        <v>300</v>
      </c>
      <c r="C741" s="398" t="s">
        <v>578</v>
      </c>
      <c r="D741" s="399" t="s">
        <v>391</v>
      </c>
      <c r="E741" s="490" t="s">
        <v>1707</v>
      </c>
      <c r="F741" s="385" t="s">
        <v>1470</v>
      </c>
      <c r="G741" s="385"/>
      <c r="H741" s="385" t="s">
        <v>966</v>
      </c>
      <c r="I741" s="385" t="str">
        <f>CONCATENATE(I742,"  ","(",H742,")","-",N742," ",M742," ",I743," ","(",H743,")","-",N743," ",M743)</f>
        <v>Замена трансформаторов напряжения 6-10 кВ  (ЯЧ. 6, 10)-2 шт. ремонт блокировок ()-7 шт.</v>
      </c>
      <c r="J741" s="489" t="s">
        <v>365</v>
      </c>
      <c r="K741" s="450">
        <v>44348</v>
      </c>
      <c r="L741" s="450">
        <v>44439</v>
      </c>
      <c r="M741" s="490"/>
      <c r="N741" s="490"/>
    </row>
    <row r="742" spans="1:130" hidden="1" outlineLevel="2">
      <c r="A742" s="438"/>
      <c r="B742" s="490" t="s">
        <v>300</v>
      </c>
      <c r="C742" s="398"/>
      <c r="D742" s="399"/>
      <c r="E742" s="385"/>
      <c r="F742" s="400"/>
      <c r="G742" s="385"/>
      <c r="H742" s="401" t="s">
        <v>1706</v>
      </c>
      <c r="I742" s="385" t="s">
        <v>1655</v>
      </c>
      <c r="J742" s="489" t="s">
        <v>365</v>
      </c>
      <c r="K742" s="412"/>
      <c r="L742" s="412"/>
      <c r="M742" s="490" t="s">
        <v>37</v>
      </c>
      <c r="N742" s="490">
        <v>2</v>
      </c>
    </row>
    <row r="743" spans="1:130" hidden="1" outlineLevel="2">
      <c r="A743" s="438"/>
      <c r="B743" s="490"/>
      <c r="C743" s="398"/>
      <c r="D743" s="399"/>
      <c r="E743" s="385"/>
      <c r="F743" s="400"/>
      <c r="G743" s="385"/>
      <c r="H743" s="401"/>
      <c r="I743" s="385" t="s">
        <v>3379</v>
      </c>
      <c r="J743" s="489" t="s">
        <v>365</v>
      </c>
      <c r="K743" s="412"/>
      <c r="L743" s="412"/>
      <c r="M743" s="490" t="s">
        <v>37</v>
      </c>
      <c r="N743" s="490">
        <v>7</v>
      </c>
    </row>
    <row r="744" spans="1:130" s="384" customFormat="1" ht="81" outlineLevel="1" collapsed="1">
      <c r="A744" s="489" t="s">
        <v>1377</v>
      </c>
      <c r="B744" s="490" t="s">
        <v>300</v>
      </c>
      <c r="C744" s="398" t="s">
        <v>578</v>
      </c>
      <c r="D744" s="399" t="s">
        <v>391</v>
      </c>
      <c r="E744" s="490" t="s">
        <v>1708</v>
      </c>
      <c r="F744" s="385" t="s">
        <v>1470</v>
      </c>
      <c r="G744" s="385"/>
      <c r="H744" s="385" t="s">
        <v>581</v>
      </c>
      <c r="I744" s="385" t="str">
        <f>CONCATENATE(I745," ","(",H745,")","-",N745," ",M745,)</f>
        <v>Замена трансформаторов напряжения 6-10 кВ (ЯЧ. 5,6)-2 шт.</v>
      </c>
      <c r="J744" s="489" t="s">
        <v>365</v>
      </c>
      <c r="K744" s="450">
        <v>44348</v>
      </c>
      <c r="L744" s="450">
        <v>44439</v>
      </c>
      <c r="M744" s="490"/>
      <c r="N744" s="490"/>
    </row>
    <row r="745" spans="1:130" hidden="1" outlineLevel="2">
      <c r="A745" s="438"/>
      <c r="B745" s="490" t="s">
        <v>300</v>
      </c>
      <c r="C745" s="398"/>
      <c r="D745" s="399"/>
      <c r="E745" s="385"/>
      <c r="F745" s="400"/>
      <c r="G745" s="385"/>
      <c r="H745" s="401" t="s">
        <v>1709</v>
      </c>
      <c r="I745" s="385" t="s">
        <v>1655</v>
      </c>
      <c r="J745" s="489" t="s">
        <v>365</v>
      </c>
      <c r="K745" s="412"/>
      <c r="L745" s="412"/>
      <c r="M745" s="490" t="s">
        <v>37</v>
      </c>
      <c r="N745" s="490">
        <v>2</v>
      </c>
    </row>
    <row r="746" spans="1:130" s="384" customFormat="1" ht="81" outlineLevel="1" collapsed="1">
      <c r="A746" s="489" t="s">
        <v>1378</v>
      </c>
      <c r="B746" s="490" t="s">
        <v>300</v>
      </c>
      <c r="C746" s="398" t="s">
        <v>578</v>
      </c>
      <c r="D746" s="399" t="s">
        <v>391</v>
      </c>
      <c r="E746" s="490" t="s">
        <v>1713</v>
      </c>
      <c r="F746" s="385" t="s">
        <v>1470</v>
      </c>
      <c r="G746" s="385"/>
      <c r="H746" s="385" t="s">
        <v>702</v>
      </c>
      <c r="I746" s="385" t="str">
        <f>CONCATENATE(I747," ","(",H747,")","-",N747," ",M747,)</f>
        <v>Замена трансформаторов тока 6-10 кВ (Яч. 3 А, С )-2 шт.</v>
      </c>
      <c r="J746" s="489" t="s">
        <v>365</v>
      </c>
      <c r="K746" s="450">
        <v>44348</v>
      </c>
      <c r="L746" s="450">
        <v>44439</v>
      </c>
      <c r="M746" s="490"/>
      <c r="N746" s="490"/>
    </row>
    <row r="747" spans="1:130" hidden="1" outlineLevel="2">
      <c r="A747" s="438"/>
      <c r="B747" s="490" t="s">
        <v>300</v>
      </c>
      <c r="C747" s="398"/>
      <c r="D747" s="399"/>
      <c r="E747" s="385"/>
      <c r="F747" s="400"/>
      <c r="G747" s="385"/>
      <c r="H747" s="401" t="s">
        <v>1712</v>
      </c>
      <c r="I747" s="385" t="s">
        <v>967</v>
      </c>
      <c r="J747" s="489" t="s">
        <v>365</v>
      </c>
      <c r="K747" s="412"/>
      <c r="L747" s="412"/>
      <c r="M747" s="490" t="s">
        <v>37</v>
      </c>
      <c r="N747" s="490">
        <v>2</v>
      </c>
    </row>
    <row r="748" spans="1:130" s="405" customFormat="1" ht="40.9" customHeight="1" outlineLevel="1" collapsed="1">
      <c r="A748" s="489" t="s">
        <v>1379</v>
      </c>
      <c r="B748" s="490" t="s">
        <v>300</v>
      </c>
      <c r="C748" s="398" t="s">
        <v>698</v>
      </c>
      <c r="D748" s="399" t="s">
        <v>391</v>
      </c>
      <c r="E748" s="490" t="s">
        <v>1519</v>
      </c>
      <c r="F748" s="385" t="s">
        <v>810</v>
      </c>
      <c r="G748" s="385"/>
      <c r="H748" s="401" t="s">
        <v>697</v>
      </c>
      <c r="I748" s="385" t="str">
        <f>CONCATENATE(I749," ","(",H749,")","-",N749," ",M749)</f>
        <v>Ремонт выключателей 35 кВ (В 35 Т-48)-1 шт.</v>
      </c>
      <c r="J748" s="489" t="s">
        <v>365</v>
      </c>
      <c r="K748" s="450">
        <v>44287</v>
      </c>
      <c r="L748" s="450">
        <v>44316</v>
      </c>
      <c r="M748" s="490"/>
      <c r="N748" s="490"/>
      <c r="O748" s="493"/>
      <c r="P748" s="493"/>
      <c r="Q748" s="493"/>
      <c r="R748" s="493"/>
      <c r="S748" s="493"/>
      <c r="T748" s="493"/>
      <c r="U748" s="493"/>
      <c r="V748" s="493"/>
      <c r="W748" s="493"/>
      <c r="X748" s="493"/>
      <c r="Y748" s="493"/>
      <c r="Z748" s="493"/>
      <c r="AA748" s="493"/>
      <c r="AB748" s="493"/>
      <c r="AC748" s="493"/>
      <c r="AD748" s="493"/>
      <c r="AE748" s="493"/>
      <c r="AF748" s="493"/>
      <c r="AG748" s="493"/>
      <c r="AH748" s="493"/>
      <c r="AI748" s="493"/>
      <c r="AJ748" s="493"/>
      <c r="AK748" s="493"/>
      <c r="AL748" s="493"/>
      <c r="AM748" s="493"/>
      <c r="AN748" s="493"/>
      <c r="AO748" s="493"/>
      <c r="AP748" s="493"/>
      <c r="AQ748" s="493"/>
      <c r="AR748" s="493"/>
      <c r="AS748" s="493"/>
      <c r="AT748" s="493"/>
      <c r="AU748" s="493"/>
      <c r="AV748" s="493"/>
      <c r="AW748" s="493"/>
      <c r="AX748" s="493"/>
      <c r="AY748" s="493"/>
      <c r="AZ748" s="493"/>
      <c r="BA748" s="493"/>
      <c r="BB748" s="493"/>
      <c r="BC748" s="493"/>
      <c r="BD748" s="493"/>
      <c r="BE748" s="493"/>
      <c r="BF748" s="493"/>
      <c r="BG748" s="493"/>
      <c r="BH748" s="493"/>
      <c r="BI748" s="493"/>
      <c r="BJ748" s="493"/>
      <c r="BK748" s="493"/>
      <c r="BL748" s="493"/>
      <c r="BM748" s="493"/>
      <c r="BN748" s="493"/>
      <c r="BO748" s="493"/>
      <c r="BP748" s="493"/>
      <c r="BQ748" s="493"/>
      <c r="BR748" s="493"/>
      <c r="BS748" s="493"/>
      <c r="BT748" s="493"/>
      <c r="BU748" s="493"/>
      <c r="BV748" s="493"/>
      <c r="BW748" s="493"/>
      <c r="BX748" s="493"/>
      <c r="BY748" s="493"/>
      <c r="BZ748" s="493"/>
      <c r="CA748" s="493"/>
      <c r="CB748" s="493"/>
      <c r="CC748" s="493"/>
      <c r="CD748" s="493"/>
      <c r="CE748" s="493"/>
      <c r="CF748" s="493"/>
      <c r="CG748" s="493"/>
      <c r="CH748" s="493"/>
      <c r="CI748" s="493"/>
      <c r="CJ748" s="493"/>
      <c r="CK748" s="493"/>
      <c r="CL748" s="493"/>
      <c r="CM748" s="493"/>
      <c r="CN748" s="493"/>
      <c r="CO748" s="493"/>
      <c r="CP748" s="493"/>
      <c r="CQ748" s="493"/>
      <c r="CR748" s="493"/>
      <c r="CS748" s="493"/>
      <c r="CT748" s="493"/>
      <c r="CU748" s="493"/>
      <c r="CV748" s="493"/>
      <c r="CW748" s="493"/>
      <c r="CX748" s="493"/>
      <c r="CY748" s="493"/>
      <c r="CZ748" s="493"/>
      <c r="DA748" s="493"/>
      <c r="DB748" s="493"/>
      <c r="DC748" s="493"/>
      <c r="DD748" s="493"/>
      <c r="DE748" s="493"/>
      <c r="DF748" s="493"/>
      <c r="DG748" s="493"/>
      <c r="DH748" s="493"/>
      <c r="DI748" s="493"/>
      <c r="DJ748" s="493"/>
      <c r="DK748" s="493"/>
      <c r="DL748" s="493"/>
      <c r="DM748" s="493"/>
      <c r="DN748" s="493"/>
      <c r="DO748" s="493"/>
      <c r="DP748" s="493"/>
      <c r="DQ748" s="493"/>
      <c r="DR748" s="493"/>
      <c r="DS748" s="493"/>
      <c r="DT748" s="493"/>
      <c r="DU748" s="493"/>
      <c r="DV748" s="493"/>
      <c r="DW748" s="493"/>
      <c r="DX748" s="493"/>
      <c r="DY748" s="493"/>
      <c r="DZ748" s="493"/>
    </row>
    <row r="749" spans="1:130" hidden="1" outlineLevel="2">
      <c r="A749" s="438"/>
      <c r="B749" s="490" t="s">
        <v>300</v>
      </c>
      <c r="C749" s="398" t="s">
        <v>698</v>
      </c>
      <c r="D749" s="399" t="s">
        <v>391</v>
      </c>
      <c r="E749" s="385"/>
      <c r="F749" s="385"/>
      <c r="G749" s="385"/>
      <c r="H749" s="385" t="s">
        <v>1529</v>
      </c>
      <c r="I749" s="385" t="s">
        <v>189</v>
      </c>
      <c r="J749" s="489" t="s">
        <v>365</v>
      </c>
      <c r="K749" s="412"/>
      <c r="L749" s="412"/>
      <c r="M749" s="490" t="s">
        <v>37</v>
      </c>
      <c r="N749" s="490">
        <v>1</v>
      </c>
    </row>
    <row r="750" spans="1:130" s="405" customFormat="1" ht="40.5" outlineLevel="1" collapsed="1">
      <c r="A750" s="489" t="s">
        <v>1380</v>
      </c>
      <c r="B750" s="490" t="s">
        <v>300</v>
      </c>
      <c r="C750" s="398" t="s">
        <v>698</v>
      </c>
      <c r="D750" s="399" t="s">
        <v>391</v>
      </c>
      <c r="E750" s="490" t="s">
        <v>1520</v>
      </c>
      <c r="F750" s="385" t="s">
        <v>810</v>
      </c>
      <c r="G750" s="385"/>
      <c r="H750" s="401" t="s">
        <v>608</v>
      </c>
      <c r="I750" s="385" t="str">
        <f>CONCATENATE(I751," ","(",H751,")","-",N751," ",M751," ",I752,"  ","(",H752,")","-",N752," ",M752)</f>
        <v>Ремонт выключателей 35 кВ (В 35 2Т)-1 шт. Замена вводов 35 кВ  (Ф «В» в ст. шин)-1 шт.</v>
      </c>
      <c r="J750" s="489" t="s">
        <v>365</v>
      </c>
      <c r="K750" s="450">
        <v>44378</v>
      </c>
      <c r="L750" s="450">
        <v>44408</v>
      </c>
      <c r="M750" s="490"/>
      <c r="N750" s="490"/>
      <c r="O750" s="493"/>
      <c r="P750" s="493"/>
      <c r="Q750" s="493"/>
      <c r="R750" s="493"/>
      <c r="S750" s="493"/>
      <c r="T750" s="493"/>
      <c r="U750" s="493"/>
      <c r="V750" s="493"/>
      <c r="W750" s="493"/>
      <c r="X750" s="493"/>
      <c r="Y750" s="493"/>
      <c r="Z750" s="493"/>
      <c r="AA750" s="493"/>
      <c r="AB750" s="493"/>
      <c r="AC750" s="493"/>
      <c r="AD750" s="493"/>
      <c r="AE750" s="493"/>
      <c r="AF750" s="493"/>
      <c r="AG750" s="493"/>
      <c r="AH750" s="493"/>
      <c r="AI750" s="493"/>
      <c r="AJ750" s="493"/>
      <c r="AK750" s="493"/>
      <c r="AL750" s="493"/>
      <c r="AM750" s="493"/>
      <c r="AN750" s="493"/>
      <c r="AO750" s="493"/>
      <c r="AP750" s="493"/>
      <c r="AQ750" s="493"/>
      <c r="AR750" s="493"/>
      <c r="AS750" s="493"/>
      <c r="AT750" s="493"/>
      <c r="AU750" s="493"/>
      <c r="AV750" s="493"/>
      <c r="AW750" s="493"/>
      <c r="AX750" s="493"/>
      <c r="AY750" s="493"/>
      <c r="AZ750" s="493"/>
      <c r="BA750" s="493"/>
      <c r="BB750" s="493"/>
      <c r="BC750" s="493"/>
      <c r="BD750" s="493"/>
      <c r="BE750" s="493"/>
      <c r="BF750" s="493"/>
      <c r="BG750" s="493"/>
      <c r="BH750" s="493"/>
      <c r="BI750" s="493"/>
      <c r="BJ750" s="493"/>
      <c r="BK750" s="493"/>
      <c r="BL750" s="493"/>
      <c r="BM750" s="493"/>
      <c r="BN750" s="493"/>
      <c r="BO750" s="493"/>
      <c r="BP750" s="493"/>
      <c r="BQ750" s="493"/>
      <c r="BR750" s="493"/>
      <c r="BS750" s="493"/>
      <c r="BT750" s="493"/>
      <c r="BU750" s="493"/>
      <c r="BV750" s="493"/>
      <c r="BW750" s="493"/>
      <c r="BX750" s="493"/>
      <c r="BY750" s="493"/>
      <c r="BZ750" s="493"/>
      <c r="CA750" s="493"/>
      <c r="CB750" s="493"/>
      <c r="CC750" s="493"/>
      <c r="CD750" s="493"/>
      <c r="CE750" s="493"/>
      <c r="CF750" s="493"/>
      <c r="CG750" s="493"/>
      <c r="CH750" s="493"/>
      <c r="CI750" s="493"/>
      <c r="CJ750" s="493"/>
      <c r="CK750" s="493"/>
      <c r="CL750" s="493"/>
      <c r="CM750" s="493"/>
      <c r="CN750" s="493"/>
      <c r="CO750" s="493"/>
      <c r="CP750" s="493"/>
      <c r="CQ750" s="493"/>
      <c r="CR750" s="493"/>
      <c r="CS750" s="493"/>
      <c r="CT750" s="493"/>
      <c r="CU750" s="493"/>
      <c r="CV750" s="493"/>
      <c r="CW750" s="493"/>
      <c r="CX750" s="493"/>
      <c r="CY750" s="493"/>
      <c r="CZ750" s="493"/>
      <c r="DA750" s="493"/>
      <c r="DB750" s="493"/>
      <c r="DC750" s="493"/>
      <c r="DD750" s="493"/>
      <c r="DE750" s="493"/>
      <c r="DF750" s="493"/>
      <c r="DG750" s="493"/>
      <c r="DH750" s="493"/>
      <c r="DI750" s="493"/>
      <c r="DJ750" s="493"/>
      <c r="DK750" s="493"/>
      <c r="DL750" s="493"/>
      <c r="DM750" s="493"/>
      <c r="DN750" s="493"/>
      <c r="DO750" s="493"/>
      <c r="DP750" s="493"/>
      <c r="DQ750" s="493"/>
      <c r="DR750" s="493"/>
      <c r="DS750" s="493"/>
      <c r="DT750" s="493"/>
      <c r="DU750" s="493"/>
      <c r="DV750" s="493"/>
      <c r="DW750" s="493"/>
      <c r="DX750" s="493"/>
      <c r="DY750" s="493"/>
      <c r="DZ750" s="493"/>
    </row>
    <row r="751" spans="1:130" hidden="1" outlineLevel="2">
      <c r="A751" s="438"/>
      <c r="B751" s="490" t="s">
        <v>300</v>
      </c>
      <c r="C751" s="398" t="s">
        <v>698</v>
      </c>
      <c r="D751" s="399" t="s">
        <v>391</v>
      </c>
      <c r="E751" s="385"/>
      <c r="F751" s="385"/>
      <c r="G751" s="385"/>
      <c r="H751" s="385" t="s">
        <v>1521</v>
      </c>
      <c r="I751" s="385" t="s">
        <v>189</v>
      </c>
      <c r="J751" s="489" t="s">
        <v>365</v>
      </c>
      <c r="K751" s="412"/>
      <c r="L751" s="412"/>
      <c r="M751" s="490" t="s">
        <v>37</v>
      </c>
      <c r="N751" s="490">
        <v>1</v>
      </c>
    </row>
    <row r="752" spans="1:130" hidden="1" outlineLevel="2">
      <c r="A752" s="438"/>
      <c r="B752" s="490" t="s">
        <v>300</v>
      </c>
      <c r="C752" s="398" t="s">
        <v>698</v>
      </c>
      <c r="D752" s="399" t="s">
        <v>391</v>
      </c>
      <c r="E752" s="385"/>
      <c r="F752" s="385"/>
      <c r="G752" s="385"/>
      <c r="H752" s="385" t="s">
        <v>699</v>
      </c>
      <c r="I752" s="385" t="s">
        <v>176</v>
      </c>
      <c r="J752" s="489" t="s">
        <v>365</v>
      </c>
      <c r="K752" s="412"/>
      <c r="L752" s="412"/>
      <c r="M752" s="490" t="s">
        <v>37</v>
      </c>
      <c r="N752" s="490">
        <v>1</v>
      </c>
    </row>
    <row r="753" spans="1:130" s="405" customFormat="1" ht="57" customHeight="1" outlineLevel="1" collapsed="1">
      <c r="A753" s="489" t="s">
        <v>1381</v>
      </c>
      <c r="B753" s="490" t="s">
        <v>300</v>
      </c>
      <c r="C753" s="398" t="s">
        <v>698</v>
      </c>
      <c r="D753" s="399" t="s">
        <v>391</v>
      </c>
      <c r="E753" s="490" t="s">
        <v>1695</v>
      </c>
      <c r="F753" s="385" t="s">
        <v>810</v>
      </c>
      <c r="G753" s="385"/>
      <c r="H753" s="401" t="s">
        <v>1822</v>
      </c>
      <c r="I753" s="385" t="str">
        <f>CONCATENATE(I754," ","(",H754,")","-",N754," ",M754)</f>
        <v>Ремонт выключателей 35 кВ (В 35 1Т,В 35 2Т)-2 шт.</v>
      </c>
      <c r="J753" s="489" t="s">
        <v>365</v>
      </c>
      <c r="K753" s="450">
        <v>44317</v>
      </c>
      <c r="L753" s="450">
        <v>44347</v>
      </c>
      <c r="M753" s="490"/>
      <c r="N753" s="490"/>
      <c r="O753" s="493"/>
      <c r="P753" s="493"/>
      <c r="Q753" s="493"/>
      <c r="R753" s="493"/>
      <c r="S753" s="493"/>
      <c r="T753" s="493"/>
      <c r="U753" s="493"/>
      <c r="V753" s="493"/>
      <c r="W753" s="493"/>
      <c r="X753" s="493"/>
      <c r="Y753" s="493"/>
      <c r="Z753" s="493"/>
      <c r="AA753" s="493"/>
      <c r="AB753" s="493"/>
      <c r="AC753" s="493"/>
      <c r="AD753" s="493"/>
      <c r="AE753" s="493"/>
      <c r="AF753" s="493"/>
      <c r="AG753" s="493"/>
      <c r="AH753" s="493"/>
      <c r="AI753" s="493"/>
      <c r="AJ753" s="493"/>
      <c r="AK753" s="493"/>
      <c r="AL753" s="493"/>
      <c r="AM753" s="493"/>
      <c r="AN753" s="493"/>
      <c r="AO753" s="493"/>
      <c r="AP753" s="493"/>
      <c r="AQ753" s="493"/>
      <c r="AR753" s="493"/>
      <c r="AS753" s="493"/>
      <c r="AT753" s="493"/>
      <c r="AU753" s="493"/>
      <c r="AV753" s="493"/>
      <c r="AW753" s="493"/>
      <c r="AX753" s="493"/>
      <c r="AY753" s="493"/>
      <c r="AZ753" s="493"/>
      <c r="BA753" s="493"/>
      <c r="BB753" s="493"/>
      <c r="BC753" s="493"/>
      <c r="BD753" s="493"/>
      <c r="BE753" s="493"/>
      <c r="BF753" s="493"/>
      <c r="BG753" s="493"/>
      <c r="BH753" s="493"/>
      <c r="BI753" s="493"/>
      <c r="BJ753" s="493"/>
      <c r="BK753" s="493"/>
      <c r="BL753" s="493"/>
      <c r="BM753" s="493"/>
      <c r="BN753" s="493"/>
      <c r="BO753" s="493"/>
      <c r="BP753" s="493"/>
      <c r="BQ753" s="493"/>
      <c r="BR753" s="493"/>
      <c r="BS753" s="493"/>
      <c r="BT753" s="493"/>
      <c r="BU753" s="493"/>
      <c r="BV753" s="493"/>
      <c r="BW753" s="493"/>
      <c r="BX753" s="493"/>
      <c r="BY753" s="493"/>
      <c r="BZ753" s="493"/>
      <c r="CA753" s="493"/>
      <c r="CB753" s="493"/>
      <c r="CC753" s="493"/>
      <c r="CD753" s="493"/>
      <c r="CE753" s="493"/>
      <c r="CF753" s="493"/>
      <c r="CG753" s="493"/>
      <c r="CH753" s="493"/>
      <c r="CI753" s="493"/>
      <c r="CJ753" s="493"/>
      <c r="CK753" s="493"/>
      <c r="CL753" s="493"/>
      <c r="CM753" s="493"/>
      <c r="CN753" s="493"/>
      <c r="CO753" s="493"/>
      <c r="CP753" s="493"/>
      <c r="CQ753" s="493"/>
      <c r="CR753" s="493"/>
      <c r="CS753" s="493"/>
      <c r="CT753" s="493"/>
      <c r="CU753" s="493"/>
      <c r="CV753" s="493"/>
      <c r="CW753" s="493"/>
      <c r="CX753" s="493"/>
      <c r="CY753" s="493"/>
      <c r="CZ753" s="493"/>
      <c r="DA753" s="493"/>
      <c r="DB753" s="493"/>
      <c r="DC753" s="493"/>
      <c r="DD753" s="493"/>
      <c r="DE753" s="493"/>
      <c r="DF753" s="493"/>
      <c r="DG753" s="493"/>
      <c r="DH753" s="493"/>
      <c r="DI753" s="493"/>
      <c r="DJ753" s="493"/>
      <c r="DK753" s="493"/>
      <c r="DL753" s="493"/>
      <c r="DM753" s="493"/>
      <c r="DN753" s="493"/>
      <c r="DO753" s="493"/>
      <c r="DP753" s="493"/>
      <c r="DQ753" s="493"/>
      <c r="DR753" s="493"/>
      <c r="DS753" s="493"/>
      <c r="DT753" s="493"/>
      <c r="DU753" s="493"/>
      <c r="DV753" s="493"/>
      <c r="DW753" s="493"/>
      <c r="DX753" s="493"/>
      <c r="DY753" s="493"/>
      <c r="DZ753" s="493"/>
    </row>
    <row r="754" spans="1:130" hidden="1" outlineLevel="2">
      <c r="A754" s="438"/>
      <c r="B754" s="490" t="s">
        <v>300</v>
      </c>
      <c r="C754" s="398" t="s">
        <v>698</v>
      </c>
      <c r="D754" s="399" t="s">
        <v>391</v>
      </c>
      <c r="E754" s="385"/>
      <c r="F754" s="396"/>
      <c r="G754" s="385"/>
      <c r="H754" s="385" t="s">
        <v>1522</v>
      </c>
      <c r="I754" s="385" t="s">
        <v>189</v>
      </c>
      <c r="J754" s="489" t="s">
        <v>365</v>
      </c>
      <c r="K754" s="412"/>
      <c r="L754" s="412"/>
      <c r="M754" s="490" t="s">
        <v>37</v>
      </c>
      <c r="N754" s="490">
        <v>2</v>
      </c>
    </row>
    <row r="755" spans="1:130" s="405" customFormat="1" ht="40.5" outlineLevel="1" collapsed="1">
      <c r="A755" s="489" t="s">
        <v>1382</v>
      </c>
      <c r="B755" s="490" t="s">
        <v>300</v>
      </c>
      <c r="C755" s="398" t="s">
        <v>698</v>
      </c>
      <c r="D755" s="399" t="s">
        <v>391</v>
      </c>
      <c r="E755" s="490" t="s">
        <v>596</v>
      </c>
      <c r="F755" s="385" t="s">
        <v>810</v>
      </c>
      <c r="G755" s="385"/>
      <c r="H755" s="401" t="s">
        <v>595</v>
      </c>
      <c r="I755" s="385" t="str">
        <f>CONCATENATE(I756," ","(",H756,")","-",N756," ",M756," ",I757,"  ","(",H757,")","-",N757," ",M757)</f>
        <v>Ремонт выключателей 35 кВ (В 35 2Т)-1 шт. Замена вводов 35 кВ  (Ф «С» в ст. 2Т)-1 шт.</v>
      </c>
      <c r="J755" s="489" t="s">
        <v>365</v>
      </c>
      <c r="K755" s="450">
        <v>44287</v>
      </c>
      <c r="L755" s="450">
        <v>44316</v>
      </c>
      <c r="M755" s="490"/>
      <c r="N755" s="490"/>
      <c r="O755" s="493"/>
      <c r="P755" s="493"/>
      <c r="Q755" s="493"/>
      <c r="R755" s="493"/>
      <c r="S755" s="493"/>
      <c r="T755" s="493"/>
      <c r="U755" s="493"/>
      <c r="V755" s="493"/>
      <c r="W755" s="493"/>
      <c r="X755" s="493"/>
      <c r="Y755" s="493"/>
      <c r="Z755" s="493"/>
      <c r="AA755" s="493"/>
      <c r="AB755" s="493"/>
      <c r="AC755" s="493"/>
      <c r="AD755" s="493"/>
      <c r="AE755" s="493"/>
      <c r="AF755" s="493"/>
      <c r="AG755" s="493"/>
      <c r="AH755" s="493"/>
      <c r="AI755" s="493"/>
      <c r="AJ755" s="493"/>
      <c r="AK755" s="493"/>
      <c r="AL755" s="493"/>
      <c r="AM755" s="493"/>
      <c r="AN755" s="493"/>
      <c r="AO755" s="493"/>
      <c r="AP755" s="493"/>
      <c r="AQ755" s="493"/>
      <c r="AR755" s="493"/>
      <c r="AS755" s="493"/>
      <c r="AT755" s="493"/>
      <c r="AU755" s="493"/>
      <c r="AV755" s="493"/>
      <c r="AW755" s="493"/>
      <c r="AX755" s="493"/>
      <c r="AY755" s="493"/>
      <c r="AZ755" s="493"/>
      <c r="BA755" s="493"/>
      <c r="BB755" s="493"/>
      <c r="BC755" s="493"/>
      <c r="BD755" s="493"/>
      <c r="BE755" s="493"/>
      <c r="BF755" s="493"/>
      <c r="BG755" s="493"/>
      <c r="BH755" s="493"/>
      <c r="BI755" s="493"/>
      <c r="BJ755" s="493"/>
      <c r="BK755" s="493"/>
      <c r="BL755" s="493"/>
      <c r="BM755" s="493"/>
      <c r="BN755" s="493"/>
      <c r="BO755" s="493"/>
      <c r="BP755" s="493"/>
      <c r="BQ755" s="493"/>
      <c r="BR755" s="493"/>
      <c r="BS755" s="493"/>
      <c r="BT755" s="493"/>
      <c r="BU755" s="493"/>
      <c r="BV755" s="493"/>
      <c r="BW755" s="493"/>
      <c r="BX755" s="493"/>
      <c r="BY755" s="493"/>
      <c r="BZ755" s="493"/>
      <c r="CA755" s="493"/>
      <c r="CB755" s="493"/>
      <c r="CC755" s="493"/>
      <c r="CD755" s="493"/>
      <c r="CE755" s="493"/>
      <c r="CF755" s="493"/>
      <c r="CG755" s="493"/>
      <c r="CH755" s="493"/>
      <c r="CI755" s="493"/>
      <c r="CJ755" s="493"/>
      <c r="CK755" s="493"/>
      <c r="CL755" s="493"/>
      <c r="CM755" s="493"/>
      <c r="CN755" s="493"/>
      <c r="CO755" s="493"/>
      <c r="CP755" s="493"/>
      <c r="CQ755" s="493"/>
      <c r="CR755" s="493"/>
      <c r="CS755" s="493"/>
      <c r="CT755" s="493"/>
      <c r="CU755" s="493"/>
      <c r="CV755" s="493"/>
      <c r="CW755" s="493"/>
      <c r="CX755" s="493"/>
      <c r="CY755" s="493"/>
      <c r="CZ755" s="493"/>
      <c r="DA755" s="493"/>
      <c r="DB755" s="493"/>
      <c r="DC755" s="493"/>
      <c r="DD755" s="493"/>
      <c r="DE755" s="493"/>
      <c r="DF755" s="493"/>
      <c r="DG755" s="493"/>
      <c r="DH755" s="493"/>
      <c r="DI755" s="493"/>
      <c r="DJ755" s="493"/>
      <c r="DK755" s="493"/>
      <c r="DL755" s="493"/>
      <c r="DM755" s="493"/>
      <c r="DN755" s="493"/>
      <c r="DO755" s="493"/>
      <c r="DP755" s="493"/>
      <c r="DQ755" s="493"/>
      <c r="DR755" s="493"/>
      <c r="DS755" s="493"/>
      <c r="DT755" s="493"/>
      <c r="DU755" s="493"/>
      <c r="DV755" s="493"/>
      <c r="DW755" s="493"/>
      <c r="DX755" s="493"/>
      <c r="DY755" s="493"/>
      <c r="DZ755" s="493"/>
    </row>
    <row r="756" spans="1:130" hidden="1" outlineLevel="2">
      <c r="A756" s="438"/>
      <c r="B756" s="490" t="s">
        <v>300</v>
      </c>
      <c r="C756" s="398" t="s">
        <v>698</v>
      </c>
      <c r="D756" s="399" t="s">
        <v>391</v>
      </c>
      <c r="E756" s="385"/>
      <c r="F756" s="385"/>
      <c r="G756" s="385"/>
      <c r="H756" s="385" t="s">
        <v>1521</v>
      </c>
      <c r="I756" s="385" t="s">
        <v>189</v>
      </c>
      <c r="J756" s="489" t="s">
        <v>365</v>
      </c>
      <c r="K756" s="412"/>
      <c r="L756" s="412"/>
      <c r="M756" s="490" t="s">
        <v>37</v>
      </c>
      <c r="N756" s="490">
        <v>1</v>
      </c>
    </row>
    <row r="757" spans="1:130" hidden="1" outlineLevel="2">
      <c r="A757" s="438"/>
      <c r="B757" s="490" t="s">
        <v>300</v>
      </c>
      <c r="C757" s="398" t="s">
        <v>698</v>
      </c>
      <c r="D757" s="399" t="s">
        <v>391</v>
      </c>
      <c r="E757" s="385"/>
      <c r="F757" s="385"/>
      <c r="G757" s="385"/>
      <c r="H757" s="385" t="s">
        <v>701</v>
      </c>
      <c r="I757" s="385" t="s">
        <v>176</v>
      </c>
      <c r="J757" s="489" t="s">
        <v>365</v>
      </c>
      <c r="K757" s="412"/>
      <c r="L757" s="412"/>
      <c r="M757" s="490" t="s">
        <v>37</v>
      </c>
      <c r="N757" s="490">
        <v>1</v>
      </c>
    </row>
    <row r="758" spans="1:130" s="405" customFormat="1" ht="40.5" outlineLevel="1" collapsed="1">
      <c r="A758" s="489" t="s">
        <v>1383</v>
      </c>
      <c r="B758" s="490" t="s">
        <v>300</v>
      </c>
      <c r="C758" s="398" t="s">
        <v>698</v>
      </c>
      <c r="D758" s="399" t="s">
        <v>391</v>
      </c>
      <c r="E758" s="490" t="s">
        <v>1525</v>
      </c>
      <c r="F758" s="385" t="s">
        <v>810</v>
      </c>
      <c r="G758" s="385"/>
      <c r="H758" s="401" t="s">
        <v>581</v>
      </c>
      <c r="I758" s="385" t="str">
        <f>CONCATENATE(I759," ","(",H759,")","-",N759," ",M759)</f>
        <v>Ремонт выключателей 35 кВ (СВ 35)-1 шт.</v>
      </c>
      <c r="J758" s="489" t="s">
        <v>365</v>
      </c>
      <c r="K758" s="450">
        <v>44440</v>
      </c>
      <c r="L758" s="450">
        <v>44469</v>
      </c>
      <c r="M758" s="490"/>
      <c r="N758" s="490"/>
      <c r="O758" s="493"/>
      <c r="P758" s="493"/>
      <c r="Q758" s="493"/>
      <c r="R758" s="493"/>
      <c r="S758" s="493"/>
      <c r="T758" s="493"/>
      <c r="U758" s="493"/>
      <c r="V758" s="493"/>
      <c r="W758" s="493"/>
      <c r="X758" s="493"/>
      <c r="Y758" s="493"/>
      <c r="Z758" s="493"/>
      <c r="AA758" s="493"/>
      <c r="AB758" s="493"/>
      <c r="AC758" s="493"/>
      <c r="AD758" s="493"/>
      <c r="AE758" s="493"/>
      <c r="AF758" s="493"/>
      <c r="AG758" s="493"/>
      <c r="AH758" s="493"/>
      <c r="AI758" s="493"/>
      <c r="AJ758" s="493"/>
      <c r="AK758" s="493"/>
      <c r="AL758" s="493"/>
      <c r="AM758" s="493"/>
      <c r="AN758" s="493"/>
      <c r="AO758" s="493"/>
      <c r="AP758" s="493"/>
      <c r="AQ758" s="493"/>
      <c r="AR758" s="493"/>
      <c r="AS758" s="493"/>
      <c r="AT758" s="493"/>
      <c r="AU758" s="493"/>
      <c r="AV758" s="493"/>
      <c r="AW758" s="493"/>
      <c r="AX758" s="493"/>
      <c r="AY758" s="493"/>
      <c r="AZ758" s="493"/>
      <c r="BA758" s="493"/>
      <c r="BB758" s="493"/>
      <c r="BC758" s="493"/>
      <c r="BD758" s="493"/>
      <c r="BE758" s="493"/>
      <c r="BF758" s="493"/>
      <c r="BG758" s="493"/>
      <c r="BH758" s="493"/>
      <c r="BI758" s="493"/>
      <c r="BJ758" s="493"/>
      <c r="BK758" s="493"/>
      <c r="BL758" s="493"/>
      <c r="BM758" s="493"/>
      <c r="BN758" s="493"/>
      <c r="BO758" s="493"/>
      <c r="BP758" s="493"/>
      <c r="BQ758" s="493"/>
      <c r="BR758" s="493"/>
      <c r="BS758" s="493"/>
      <c r="BT758" s="493"/>
      <c r="BU758" s="493"/>
      <c r="BV758" s="493"/>
      <c r="BW758" s="493"/>
      <c r="BX758" s="493"/>
      <c r="BY758" s="493"/>
      <c r="BZ758" s="493"/>
      <c r="CA758" s="493"/>
      <c r="CB758" s="493"/>
      <c r="CC758" s="493"/>
      <c r="CD758" s="493"/>
      <c r="CE758" s="493"/>
      <c r="CF758" s="493"/>
      <c r="CG758" s="493"/>
      <c r="CH758" s="493"/>
      <c r="CI758" s="493"/>
      <c r="CJ758" s="493"/>
      <c r="CK758" s="493"/>
      <c r="CL758" s="493"/>
      <c r="CM758" s="493"/>
      <c r="CN758" s="493"/>
      <c r="CO758" s="493"/>
      <c r="CP758" s="493"/>
      <c r="CQ758" s="493"/>
      <c r="CR758" s="493"/>
      <c r="CS758" s="493"/>
      <c r="CT758" s="493"/>
      <c r="CU758" s="493"/>
      <c r="CV758" s="493"/>
      <c r="CW758" s="493"/>
      <c r="CX758" s="493"/>
      <c r="CY758" s="493"/>
      <c r="CZ758" s="493"/>
      <c r="DA758" s="493"/>
      <c r="DB758" s="493"/>
      <c r="DC758" s="493"/>
      <c r="DD758" s="493"/>
      <c r="DE758" s="493"/>
      <c r="DF758" s="493"/>
      <c r="DG758" s="493"/>
      <c r="DH758" s="493"/>
      <c r="DI758" s="493"/>
      <c r="DJ758" s="493"/>
      <c r="DK758" s="493"/>
      <c r="DL758" s="493"/>
      <c r="DM758" s="493"/>
      <c r="DN758" s="493"/>
      <c r="DO758" s="493"/>
      <c r="DP758" s="493"/>
      <c r="DQ758" s="493"/>
      <c r="DR758" s="493"/>
      <c r="DS758" s="493"/>
      <c r="DT758" s="493"/>
      <c r="DU758" s="493"/>
      <c r="DV758" s="493"/>
      <c r="DW758" s="493"/>
      <c r="DX758" s="493"/>
      <c r="DY758" s="493"/>
      <c r="DZ758" s="493"/>
    </row>
    <row r="759" spans="1:130" hidden="1" outlineLevel="2">
      <c r="A759" s="438"/>
      <c r="B759" s="490" t="s">
        <v>300</v>
      </c>
      <c r="C759" s="398" t="s">
        <v>698</v>
      </c>
      <c r="D759" s="399" t="s">
        <v>391</v>
      </c>
      <c r="E759" s="385"/>
      <c r="F759" s="385"/>
      <c r="G759" s="385"/>
      <c r="H759" s="385" t="s">
        <v>1526</v>
      </c>
      <c r="I759" s="385" t="s">
        <v>189</v>
      </c>
      <c r="J759" s="489" t="s">
        <v>365</v>
      </c>
      <c r="K759" s="412"/>
      <c r="L759" s="412"/>
      <c r="M759" s="490" t="s">
        <v>37</v>
      </c>
      <c r="N759" s="490">
        <v>1</v>
      </c>
    </row>
    <row r="760" spans="1:130" s="405" customFormat="1" ht="60.75" outlineLevel="1" collapsed="1">
      <c r="A760" s="489" t="s">
        <v>1384</v>
      </c>
      <c r="B760" s="490" t="s">
        <v>300</v>
      </c>
      <c r="C760" s="398" t="s">
        <v>698</v>
      </c>
      <c r="D760" s="399" t="s">
        <v>391</v>
      </c>
      <c r="E760" s="490" t="s">
        <v>1527</v>
      </c>
      <c r="F760" s="385" t="s">
        <v>810</v>
      </c>
      <c r="G760" s="385"/>
      <c r="H760" s="401" t="s">
        <v>702</v>
      </c>
      <c r="I760" s="385" t="str">
        <f>CONCATENATE(I761," ","(",H761,")","-",N761," ",M761," ",I762,"  ","(",H762,")","-",N762," ",M762)</f>
        <v>Ремонт выключателей 35 кВ (В 35 1Т)-1 шт. Замена вводов 35 кВ  (Ф «В» в ст 1Т – 1 шт; Ф «С» в ст ВЛ и 1Т – 1 шт.)-2 шт.</v>
      </c>
      <c r="J760" s="489" t="s">
        <v>365</v>
      </c>
      <c r="K760" s="450">
        <v>44440</v>
      </c>
      <c r="L760" s="450">
        <v>44469</v>
      </c>
      <c r="M760" s="490"/>
      <c r="N760" s="490"/>
      <c r="O760" s="493"/>
      <c r="P760" s="493"/>
      <c r="Q760" s="493"/>
      <c r="R760" s="493"/>
      <c r="S760" s="493"/>
      <c r="T760" s="493"/>
      <c r="U760" s="493"/>
      <c r="V760" s="493"/>
      <c r="W760" s="493"/>
      <c r="X760" s="493"/>
      <c r="Y760" s="493"/>
      <c r="Z760" s="493"/>
      <c r="AA760" s="493"/>
      <c r="AB760" s="493"/>
      <c r="AC760" s="493"/>
      <c r="AD760" s="493"/>
      <c r="AE760" s="493"/>
      <c r="AF760" s="493"/>
      <c r="AG760" s="493"/>
      <c r="AH760" s="493"/>
      <c r="AI760" s="493"/>
      <c r="AJ760" s="493"/>
      <c r="AK760" s="493"/>
      <c r="AL760" s="493"/>
      <c r="AM760" s="493"/>
      <c r="AN760" s="493"/>
      <c r="AO760" s="493"/>
      <c r="AP760" s="493"/>
      <c r="AQ760" s="493"/>
      <c r="AR760" s="493"/>
      <c r="AS760" s="493"/>
      <c r="AT760" s="493"/>
      <c r="AU760" s="493"/>
      <c r="AV760" s="493"/>
      <c r="AW760" s="493"/>
      <c r="AX760" s="493"/>
      <c r="AY760" s="493"/>
      <c r="AZ760" s="493"/>
      <c r="BA760" s="493"/>
      <c r="BB760" s="493"/>
      <c r="BC760" s="493"/>
      <c r="BD760" s="493"/>
      <c r="BE760" s="493"/>
      <c r="BF760" s="493"/>
      <c r="BG760" s="493"/>
      <c r="BH760" s="493"/>
      <c r="BI760" s="493"/>
      <c r="BJ760" s="493"/>
      <c r="BK760" s="493"/>
      <c r="BL760" s="493"/>
      <c r="BM760" s="493"/>
      <c r="BN760" s="493"/>
      <c r="BO760" s="493"/>
      <c r="BP760" s="493"/>
      <c r="BQ760" s="493"/>
      <c r="BR760" s="493"/>
      <c r="BS760" s="493"/>
      <c r="BT760" s="493"/>
      <c r="BU760" s="493"/>
      <c r="BV760" s="493"/>
      <c r="BW760" s="493"/>
      <c r="BX760" s="493"/>
      <c r="BY760" s="493"/>
      <c r="BZ760" s="493"/>
      <c r="CA760" s="493"/>
      <c r="CB760" s="493"/>
      <c r="CC760" s="493"/>
      <c r="CD760" s="493"/>
      <c r="CE760" s="493"/>
      <c r="CF760" s="493"/>
      <c r="CG760" s="493"/>
      <c r="CH760" s="493"/>
      <c r="CI760" s="493"/>
      <c r="CJ760" s="493"/>
      <c r="CK760" s="493"/>
      <c r="CL760" s="493"/>
      <c r="CM760" s="493"/>
      <c r="CN760" s="493"/>
      <c r="CO760" s="493"/>
      <c r="CP760" s="493"/>
      <c r="CQ760" s="493"/>
      <c r="CR760" s="493"/>
      <c r="CS760" s="493"/>
      <c r="CT760" s="493"/>
      <c r="CU760" s="493"/>
      <c r="CV760" s="493"/>
      <c r="CW760" s="493"/>
      <c r="CX760" s="493"/>
      <c r="CY760" s="493"/>
      <c r="CZ760" s="493"/>
      <c r="DA760" s="493"/>
      <c r="DB760" s="493"/>
      <c r="DC760" s="493"/>
      <c r="DD760" s="493"/>
      <c r="DE760" s="493"/>
      <c r="DF760" s="493"/>
      <c r="DG760" s="493"/>
      <c r="DH760" s="493"/>
      <c r="DI760" s="493"/>
      <c r="DJ760" s="493"/>
      <c r="DK760" s="493"/>
      <c r="DL760" s="493"/>
      <c r="DM760" s="493"/>
      <c r="DN760" s="493"/>
      <c r="DO760" s="493"/>
      <c r="DP760" s="493"/>
      <c r="DQ760" s="493"/>
      <c r="DR760" s="493"/>
      <c r="DS760" s="493"/>
      <c r="DT760" s="493"/>
      <c r="DU760" s="493"/>
      <c r="DV760" s="493"/>
      <c r="DW760" s="493"/>
      <c r="DX760" s="493"/>
      <c r="DY760" s="493"/>
      <c r="DZ760" s="493"/>
    </row>
    <row r="761" spans="1:130" hidden="1" outlineLevel="2">
      <c r="A761" s="438"/>
      <c r="B761" s="490" t="s">
        <v>300</v>
      </c>
      <c r="C761" s="398" t="s">
        <v>698</v>
      </c>
      <c r="D761" s="399" t="s">
        <v>391</v>
      </c>
      <c r="E761" s="385"/>
      <c r="F761" s="385"/>
      <c r="G761" s="385"/>
      <c r="H761" s="385" t="s">
        <v>616</v>
      </c>
      <c r="I761" s="385" t="s">
        <v>189</v>
      </c>
      <c r="J761" s="489" t="s">
        <v>365</v>
      </c>
      <c r="K761" s="412"/>
      <c r="L761" s="412"/>
      <c r="M761" s="490" t="s">
        <v>37</v>
      </c>
      <c r="N761" s="490">
        <v>1</v>
      </c>
    </row>
    <row r="762" spans="1:130" ht="40.5" hidden="1" outlineLevel="2">
      <c r="A762" s="438"/>
      <c r="B762" s="490" t="s">
        <v>300</v>
      </c>
      <c r="C762" s="398" t="s">
        <v>698</v>
      </c>
      <c r="D762" s="399" t="s">
        <v>391</v>
      </c>
      <c r="E762" s="385"/>
      <c r="F762" s="385"/>
      <c r="G762" s="385"/>
      <c r="H762" s="385" t="s">
        <v>1654</v>
      </c>
      <c r="I762" s="385" t="s">
        <v>176</v>
      </c>
      <c r="J762" s="489" t="s">
        <v>365</v>
      </c>
      <c r="K762" s="412"/>
      <c r="L762" s="412"/>
      <c r="M762" s="490" t="s">
        <v>37</v>
      </c>
      <c r="N762" s="490">
        <v>2</v>
      </c>
    </row>
    <row r="763" spans="1:130" s="405" customFormat="1" ht="43.9" customHeight="1" outlineLevel="1" collapsed="1">
      <c r="A763" s="489" t="s">
        <v>1385</v>
      </c>
      <c r="B763" s="490" t="s">
        <v>300</v>
      </c>
      <c r="C763" s="398" t="s">
        <v>698</v>
      </c>
      <c r="D763" s="399" t="s">
        <v>391</v>
      </c>
      <c r="E763" s="490" t="s">
        <v>575</v>
      </c>
      <c r="F763" s="385" t="s">
        <v>810</v>
      </c>
      <c r="G763" s="385"/>
      <c r="H763" s="401" t="s">
        <v>576</v>
      </c>
      <c r="I763" s="385" t="str">
        <f>CONCATENATE(I764," ","(",H764,")","-",N764," ",M764)</f>
        <v>Ремонт выключателей 35 кВ (В 35 1Т)-1 шт.</v>
      </c>
      <c r="J763" s="489" t="s">
        <v>365</v>
      </c>
      <c r="K763" s="450">
        <v>44317</v>
      </c>
      <c r="L763" s="450">
        <v>44347</v>
      </c>
      <c r="M763" s="490"/>
      <c r="N763" s="490"/>
      <c r="O763" s="493"/>
      <c r="P763" s="493"/>
      <c r="Q763" s="493"/>
      <c r="R763" s="493"/>
      <c r="S763" s="493"/>
      <c r="T763" s="493"/>
      <c r="U763" s="493"/>
      <c r="V763" s="493"/>
      <c r="W763" s="493"/>
      <c r="X763" s="493"/>
      <c r="Y763" s="493"/>
      <c r="Z763" s="493"/>
      <c r="AA763" s="493"/>
      <c r="AB763" s="493"/>
      <c r="AC763" s="493"/>
      <c r="AD763" s="493"/>
      <c r="AE763" s="493"/>
      <c r="AF763" s="493"/>
      <c r="AG763" s="493"/>
      <c r="AH763" s="493"/>
      <c r="AI763" s="493"/>
      <c r="AJ763" s="493"/>
      <c r="AK763" s="493"/>
      <c r="AL763" s="493"/>
      <c r="AM763" s="493"/>
      <c r="AN763" s="493"/>
      <c r="AO763" s="493"/>
      <c r="AP763" s="493"/>
      <c r="AQ763" s="493"/>
      <c r="AR763" s="493"/>
      <c r="AS763" s="493"/>
      <c r="AT763" s="493"/>
      <c r="AU763" s="493"/>
      <c r="AV763" s="493"/>
      <c r="AW763" s="493"/>
      <c r="AX763" s="493"/>
      <c r="AY763" s="493"/>
      <c r="AZ763" s="493"/>
      <c r="BA763" s="493"/>
      <c r="BB763" s="493"/>
      <c r="BC763" s="493"/>
      <c r="BD763" s="493"/>
      <c r="BE763" s="493"/>
      <c r="BF763" s="493"/>
      <c r="BG763" s="493"/>
      <c r="BH763" s="493"/>
      <c r="BI763" s="493"/>
      <c r="BJ763" s="493"/>
      <c r="BK763" s="493"/>
      <c r="BL763" s="493"/>
      <c r="BM763" s="493"/>
      <c r="BN763" s="493"/>
      <c r="BO763" s="493"/>
      <c r="BP763" s="493"/>
      <c r="BQ763" s="493"/>
      <c r="BR763" s="493"/>
      <c r="BS763" s="493"/>
      <c r="BT763" s="493"/>
      <c r="BU763" s="493"/>
      <c r="BV763" s="493"/>
      <c r="BW763" s="493"/>
      <c r="BX763" s="493"/>
      <c r="BY763" s="493"/>
      <c r="BZ763" s="493"/>
      <c r="CA763" s="493"/>
      <c r="CB763" s="493"/>
      <c r="CC763" s="493"/>
      <c r="CD763" s="493"/>
      <c r="CE763" s="493"/>
      <c r="CF763" s="493"/>
      <c r="CG763" s="493"/>
      <c r="CH763" s="493"/>
      <c r="CI763" s="493"/>
      <c r="CJ763" s="493"/>
      <c r="CK763" s="493"/>
      <c r="CL763" s="493"/>
      <c r="CM763" s="493"/>
      <c r="CN763" s="493"/>
      <c r="CO763" s="493"/>
      <c r="CP763" s="493"/>
      <c r="CQ763" s="493"/>
      <c r="CR763" s="493"/>
      <c r="CS763" s="493"/>
      <c r="CT763" s="493"/>
      <c r="CU763" s="493"/>
      <c r="CV763" s="493"/>
      <c r="CW763" s="493"/>
      <c r="CX763" s="493"/>
      <c r="CY763" s="493"/>
      <c r="CZ763" s="493"/>
      <c r="DA763" s="493"/>
      <c r="DB763" s="493"/>
      <c r="DC763" s="493"/>
      <c r="DD763" s="493"/>
      <c r="DE763" s="493"/>
      <c r="DF763" s="493"/>
      <c r="DG763" s="493"/>
      <c r="DH763" s="493"/>
      <c r="DI763" s="493"/>
      <c r="DJ763" s="493"/>
      <c r="DK763" s="493"/>
      <c r="DL763" s="493"/>
      <c r="DM763" s="493"/>
      <c r="DN763" s="493"/>
      <c r="DO763" s="493"/>
      <c r="DP763" s="493"/>
      <c r="DQ763" s="493"/>
      <c r="DR763" s="493"/>
      <c r="DS763" s="493"/>
      <c r="DT763" s="493"/>
      <c r="DU763" s="493"/>
      <c r="DV763" s="493"/>
      <c r="DW763" s="493"/>
      <c r="DX763" s="493"/>
      <c r="DY763" s="493"/>
      <c r="DZ763" s="493"/>
    </row>
    <row r="764" spans="1:130" hidden="1" outlineLevel="2">
      <c r="A764" s="438"/>
      <c r="B764" s="490" t="s">
        <v>300</v>
      </c>
      <c r="C764" s="398" t="s">
        <v>698</v>
      </c>
      <c r="D764" s="399" t="s">
        <v>391</v>
      </c>
      <c r="E764" s="385"/>
      <c r="F764" s="385"/>
      <c r="G764" s="385"/>
      <c r="H764" s="385" t="s">
        <v>616</v>
      </c>
      <c r="I764" s="385" t="s">
        <v>189</v>
      </c>
      <c r="J764" s="489" t="s">
        <v>365</v>
      </c>
      <c r="K764" s="412"/>
      <c r="L764" s="412"/>
      <c r="M764" s="490" t="s">
        <v>37</v>
      </c>
      <c r="N764" s="490">
        <v>1</v>
      </c>
    </row>
    <row r="765" spans="1:130" s="405" customFormat="1" ht="48" customHeight="1" outlineLevel="1" collapsed="1">
      <c r="A765" s="489" t="s">
        <v>1386</v>
      </c>
      <c r="B765" s="490" t="s">
        <v>300</v>
      </c>
      <c r="C765" s="398" t="s">
        <v>698</v>
      </c>
      <c r="D765" s="399" t="s">
        <v>391</v>
      </c>
      <c r="E765" s="490" t="s">
        <v>1530</v>
      </c>
      <c r="F765" s="385" t="s">
        <v>810</v>
      </c>
      <c r="G765" s="385"/>
      <c r="H765" s="401" t="s">
        <v>703</v>
      </c>
      <c r="I765" s="385" t="str">
        <f>CONCATENATE(I766," ","(",H766,")","-",N766," ",M766)</f>
        <v>Ремонт выключателей 35 кВ (В 35 Т-26)-1 шт.</v>
      </c>
      <c r="J765" s="489" t="s">
        <v>365</v>
      </c>
      <c r="K765" s="450">
        <v>44409</v>
      </c>
      <c r="L765" s="450">
        <v>44439</v>
      </c>
      <c r="M765" s="490"/>
      <c r="N765" s="490"/>
      <c r="O765" s="493"/>
      <c r="P765" s="493"/>
      <c r="Q765" s="493"/>
      <c r="R765" s="493"/>
      <c r="S765" s="493"/>
      <c r="T765" s="493"/>
      <c r="U765" s="493"/>
      <c r="V765" s="493"/>
      <c r="W765" s="493"/>
      <c r="X765" s="493"/>
      <c r="Y765" s="493"/>
      <c r="Z765" s="493"/>
      <c r="AA765" s="493"/>
      <c r="AB765" s="493"/>
      <c r="AC765" s="493"/>
      <c r="AD765" s="493"/>
      <c r="AE765" s="493"/>
      <c r="AF765" s="493"/>
      <c r="AG765" s="493"/>
      <c r="AH765" s="493"/>
      <c r="AI765" s="493"/>
      <c r="AJ765" s="493"/>
      <c r="AK765" s="493"/>
      <c r="AL765" s="493"/>
      <c r="AM765" s="493"/>
      <c r="AN765" s="493"/>
      <c r="AO765" s="493"/>
      <c r="AP765" s="493"/>
      <c r="AQ765" s="493"/>
      <c r="AR765" s="493"/>
      <c r="AS765" s="493"/>
      <c r="AT765" s="493"/>
      <c r="AU765" s="493"/>
      <c r="AV765" s="493"/>
      <c r="AW765" s="493"/>
      <c r="AX765" s="493"/>
      <c r="AY765" s="493"/>
      <c r="AZ765" s="493"/>
      <c r="BA765" s="493"/>
      <c r="BB765" s="493"/>
      <c r="BC765" s="493"/>
      <c r="BD765" s="493"/>
      <c r="BE765" s="493"/>
      <c r="BF765" s="493"/>
      <c r="BG765" s="493"/>
      <c r="BH765" s="493"/>
      <c r="BI765" s="493"/>
      <c r="BJ765" s="493"/>
      <c r="BK765" s="493"/>
      <c r="BL765" s="493"/>
      <c r="BM765" s="493"/>
      <c r="BN765" s="493"/>
      <c r="BO765" s="493"/>
      <c r="BP765" s="493"/>
      <c r="BQ765" s="493"/>
      <c r="BR765" s="493"/>
      <c r="BS765" s="493"/>
      <c r="BT765" s="493"/>
      <c r="BU765" s="493"/>
      <c r="BV765" s="493"/>
      <c r="BW765" s="493"/>
      <c r="BX765" s="493"/>
      <c r="BY765" s="493"/>
      <c r="BZ765" s="493"/>
      <c r="CA765" s="493"/>
      <c r="CB765" s="493"/>
      <c r="CC765" s="493"/>
      <c r="CD765" s="493"/>
      <c r="CE765" s="493"/>
      <c r="CF765" s="493"/>
      <c r="CG765" s="493"/>
      <c r="CH765" s="493"/>
      <c r="CI765" s="493"/>
      <c r="CJ765" s="493"/>
      <c r="CK765" s="493"/>
      <c r="CL765" s="493"/>
      <c r="CM765" s="493"/>
      <c r="CN765" s="493"/>
      <c r="CO765" s="493"/>
      <c r="CP765" s="493"/>
      <c r="CQ765" s="493"/>
      <c r="CR765" s="493"/>
      <c r="CS765" s="493"/>
      <c r="CT765" s="493"/>
      <c r="CU765" s="493"/>
      <c r="CV765" s="493"/>
      <c r="CW765" s="493"/>
      <c r="CX765" s="493"/>
      <c r="CY765" s="493"/>
      <c r="CZ765" s="493"/>
      <c r="DA765" s="493"/>
      <c r="DB765" s="493"/>
      <c r="DC765" s="493"/>
      <c r="DD765" s="493"/>
      <c r="DE765" s="493"/>
      <c r="DF765" s="493"/>
      <c r="DG765" s="493"/>
      <c r="DH765" s="493"/>
      <c r="DI765" s="493"/>
      <c r="DJ765" s="493"/>
      <c r="DK765" s="493"/>
      <c r="DL765" s="493"/>
      <c r="DM765" s="493"/>
      <c r="DN765" s="493"/>
      <c r="DO765" s="493"/>
      <c r="DP765" s="493"/>
      <c r="DQ765" s="493"/>
      <c r="DR765" s="493"/>
      <c r="DS765" s="493"/>
      <c r="DT765" s="493"/>
      <c r="DU765" s="493"/>
      <c r="DV765" s="493"/>
      <c r="DW765" s="493"/>
      <c r="DX765" s="493"/>
      <c r="DY765" s="493"/>
      <c r="DZ765" s="493"/>
    </row>
    <row r="766" spans="1:130" hidden="1" outlineLevel="2">
      <c r="A766" s="438"/>
      <c r="B766" s="490" t="s">
        <v>300</v>
      </c>
      <c r="C766" s="398" t="s">
        <v>698</v>
      </c>
      <c r="D766" s="399" t="s">
        <v>391</v>
      </c>
      <c r="E766" s="385"/>
      <c r="F766" s="396"/>
      <c r="G766" s="385"/>
      <c r="H766" s="385" t="s">
        <v>1531</v>
      </c>
      <c r="I766" s="385" t="s">
        <v>189</v>
      </c>
      <c r="J766" s="489" t="s">
        <v>365</v>
      </c>
      <c r="K766" s="412"/>
      <c r="L766" s="412"/>
      <c r="M766" s="490" t="s">
        <v>37</v>
      </c>
      <c r="N766" s="490">
        <v>1</v>
      </c>
    </row>
    <row r="767" spans="1:130" s="405" customFormat="1" ht="40.5" outlineLevel="1" collapsed="1">
      <c r="A767" s="489" t="s">
        <v>1387</v>
      </c>
      <c r="B767" s="490" t="s">
        <v>300</v>
      </c>
      <c r="C767" s="398" t="s">
        <v>698</v>
      </c>
      <c r="D767" s="399" t="s">
        <v>391</v>
      </c>
      <c r="E767" s="490" t="s">
        <v>704</v>
      </c>
      <c r="F767" s="385" t="s">
        <v>810</v>
      </c>
      <c r="G767" s="385"/>
      <c r="H767" s="401" t="s">
        <v>630</v>
      </c>
      <c r="I767" s="385" t="str">
        <f>CONCATENATE(I768," ","(",H768,")","-",N768," ",M768," ",I769,"  ","(",H769,")","-",N769," ",M769)</f>
        <v>Ремонт выключателей 35 кВ (В 35 1Т )-1 шт. Замена вводов 35 кВ  (Ф «С» в ст. 1Т и в ст. шин – 2 шт)-2 шт.</v>
      </c>
      <c r="J767" s="489" t="s">
        <v>365</v>
      </c>
      <c r="K767" s="450">
        <v>44378</v>
      </c>
      <c r="L767" s="450">
        <v>44408</v>
      </c>
      <c r="M767" s="490"/>
      <c r="N767" s="490"/>
      <c r="O767" s="493"/>
      <c r="P767" s="493"/>
      <c r="Q767" s="493"/>
      <c r="R767" s="493"/>
      <c r="S767" s="493"/>
      <c r="T767" s="493"/>
      <c r="U767" s="493"/>
      <c r="V767" s="493"/>
      <c r="W767" s="493"/>
      <c r="X767" s="493"/>
      <c r="Y767" s="493"/>
      <c r="Z767" s="493"/>
      <c r="AA767" s="493"/>
      <c r="AB767" s="493"/>
      <c r="AC767" s="493"/>
      <c r="AD767" s="493"/>
      <c r="AE767" s="493"/>
      <c r="AF767" s="493"/>
      <c r="AG767" s="493"/>
      <c r="AH767" s="493"/>
      <c r="AI767" s="493"/>
      <c r="AJ767" s="493"/>
      <c r="AK767" s="493"/>
      <c r="AL767" s="493"/>
      <c r="AM767" s="493"/>
      <c r="AN767" s="493"/>
      <c r="AO767" s="493"/>
      <c r="AP767" s="493"/>
      <c r="AQ767" s="493"/>
      <c r="AR767" s="493"/>
      <c r="AS767" s="493"/>
      <c r="AT767" s="493"/>
      <c r="AU767" s="493"/>
      <c r="AV767" s="493"/>
      <c r="AW767" s="493"/>
      <c r="AX767" s="493"/>
      <c r="AY767" s="493"/>
      <c r="AZ767" s="493"/>
      <c r="BA767" s="493"/>
      <c r="BB767" s="493"/>
      <c r="BC767" s="493"/>
      <c r="BD767" s="493"/>
      <c r="BE767" s="493"/>
      <c r="BF767" s="493"/>
      <c r="BG767" s="493"/>
      <c r="BH767" s="493"/>
      <c r="BI767" s="493"/>
      <c r="BJ767" s="493"/>
      <c r="BK767" s="493"/>
      <c r="BL767" s="493"/>
      <c r="BM767" s="493"/>
      <c r="BN767" s="493"/>
      <c r="BO767" s="493"/>
      <c r="BP767" s="493"/>
      <c r="BQ767" s="493"/>
      <c r="BR767" s="493"/>
      <c r="BS767" s="493"/>
      <c r="BT767" s="493"/>
      <c r="BU767" s="493"/>
      <c r="BV767" s="493"/>
      <c r="BW767" s="493"/>
      <c r="BX767" s="493"/>
      <c r="BY767" s="493"/>
      <c r="BZ767" s="493"/>
      <c r="CA767" s="493"/>
      <c r="CB767" s="493"/>
      <c r="CC767" s="493"/>
      <c r="CD767" s="493"/>
      <c r="CE767" s="493"/>
      <c r="CF767" s="493"/>
      <c r="CG767" s="493"/>
      <c r="CH767" s="493"/>
      <c r="CI767" s="493"/>
      <c r="CJ767" s="493"/>
      <c r="CK767" s="493"/>
      <c r="CL767" s="493"/>
      <c r="CM767" s="493"/>
      <c r="CN767" s="493"/>
      <c r="CO767" s="493"/>
      <c r="CP767" s="493"/>
      <c r="CQ767" s="493"/>
      <c r="CR767" s="493"/>
      <c r="CS767" s="493"/>
      <c r="CT767" s="493"/>
      <c r="CU767" s="493"/>
      <c r="CV767" s="493"/>
      <c r="CW767" s="493"/>
      <c r="CX767" s="493"/>
      <c r="CY767" s="493"/>
      <c r="CZ767" s="493"/>
      <c r="DA767" s="493"/>
      <c r="DB767" s="493"/>
      <c r="DC767" s="493"/>
      <c r="DD767" s="493"/>
      <c r="DE767" s="493"/>
      <c r="DF767" s="493"/>
      <c r="DG767" s="493"/>
      <c r="DH767" s="493"/>
      <c r="DI767" s="493"/>
      <c r="DJ767" s="493"/>
      <c r="DK767" s="493"/>
      <c r="DL767" s="493"/>
      <c r="DM767" s="493"/>
      <c r="DN767" s="493"/>
      <c r="DO767" s="493"/>
      <c r="DP767" s="493"/>
      <c r="DQ767" s="493"/>
      <c r="DR767" s="493"/>
      <c r="DS767" s="493"/>
      <c r="DT767" s="493"/>
      <c r="DU767" s="493"/>
      <c r="DV767" s="493"/>
      <c r="DW767" s="493"/>
      <c r="DX767" s="493"/>
      <c r="DY767" s="493"/>
      <c r="DZ767" s="493"/>
    </row>
    <row r="768" spans="1:130" hidden="1" outlineLevel="2">
      <c r="A768" s="438"/>
      <c r="B768" s="490" t="s">
        <v>300</v>
      </c>
      <c r="C768" s="398" t="s">
        <v>698</v>
      </c>
      <c r="D768" s="399" t="s">
        <v>391</v>
      </c>
      <c r="E768" s="385"/>
      <c r="F768" s="385"/>
      <c r="G768" s="385"/>
      <c r="H768" s="385" t="s">
        <v>1532</v>
      </c>
      <c r="I768" s="385" t="s">
        <v>189</v>
      </c>
      <c r="J768" s="489" t="s">
        <v>365</v>
      </c>
      <c r="K768" s="412"/>
      <c r="L768" s="412"/>
      <c r="M768" s="490" t="s">
        <v>37</v>
      </c>
      <c r="N768" s="490">
        <v>1</v>
      </c>
    </row>
    <row r="769" spans="1:130" hidden="1" outlineLevel="2">
      <c r="A769" s="438"/>
      <c r="B769" s="490" t="s">
        <v>300</v>
      </c>
      <c r="C769" s="398" t="s">
        <v>698</v>
      </c>
      <c r="D769" s="399" t="s">
        <v>391</v>
      </c>
      <c r="E769" s="385"/>
      <c r="F769" s="385"/>
      <c r="G769" s="385"/>
      <c r="H769" s="385" t="s">
        <v>705</v>
      </c>
      <c r="I769" s="385" t="s">
        <v>176</v>
      </c>
      <c r="J769" s="489" t="s">
        <v>365</v>
      </c>
      <c r="K769" s="412"/>
      <c r="L769" s="412"/>
      <c r="M769" s="490" t="s">
        <v>37</v>
      </c>
      <c r="N769" s="490">
        <v>2</v>
      </c>
    </row>
    <row r="770" spans="1:130" s="405" customFormat="1" ht="40.9" customHeight="1" outlineLevel="1" collapsed="1">
      <c r="A770" s="489" t="s">
        <v>1388</v>
      </c>
      <c r="B770" s="490" t="s">
        <v>300</v>
      </c>
      <c r="C770" s="398" t="s">
        <v>698</v>
      </c>
      <c r="D770" s="399" t="s">
        <v>391</v>
      </c>
      <c r="E770" s="385" t="s">
        <v>711</v>
      </c>
      <c r="F770" s="385" t="s">
        <v>810</v>
      </c>
      <c r="G770" s="385"/>
      <c r="H770" s="401" t="s">
        <v>712</v>
      </c>
      <c r="I770" s="385" t="str">
        <f>CONCATENATE(I771," ","(",H771,")","-",N771," ",M771)</f>
        <v>Ремонт трансформаторов 35 кВ (1Т ТМН-6300/35/ 10 )-1 шт.</v>
      </c>
      <c r="J770" s="489" t="s">
        <v>365</v>
      </c>
      <c r="K770" s="450">
        <v>44409</v>
      </c>
      <c r="L770" s="450">
        <v>44439</v>
      </c>
      <c r="M770" s="490"/>
      <c r="N770" s="490"/>
      <c r="O770" s="493"/>
      <c r="P770" s="493"/>
      <c r="Q770" s="493"/>
      <c r="R770" s="493"/>
      <c r="S770" s="493"/>
      <c r="T770" s="493"/>
      <c r="U770" s="493"/>
      <c r="V770" s="493"/>
      <c r="W770" s="493"/>
      <c r="X770" s="493"/>
      <c r="Y770" s="493"/>
      <c r="Z770" s="493"/>
      <c r="AA770" s="493"/>
      <c r="AB770" s="493"/>
      <c r="AC770" s="493"/>
      <c r="AD770" s="493"/>
      <c r="AE770" s="493"/>
      <c r="AF770" s="493"/>
      <c r="AG770" s="493"/>
      <c r="AH770" s="493"/>
      <c r="AI770" s="493"/>
      <c r="AJ770" s="493"/>
      <c r="AK770" s="493"/>
      <c r="AL770" s="493"/>
      <c r="AM770" s="493"/>
      <c r="AN770" s="493"/>
      <c r="AO770" s="493"/>
      <c r="AP770" s="493"/>
      <c r="AQ770" s="493"/>
      <c r="AR770" s="493"/>
      <c r="AS770" s="493"/>
      <c r="AT770" s="493"/>
      <c r="AU770" s="493"/>
      <c r="AV770" s="493"/>
      <c r="AW770" s="493"/>
      <c r="AX770" s="493"/>
      <c r="AY770" s="493"/>
      <c r="AZ770" s="493"/>
      <c r="BA770" s="493"/>
      <c r="BB770" s="493"/>
      <c r="BC770" s="493"/>
      <c r="BD770" s="493"/>
      <c r="BE770" s="493"/>
      <c r="BF770" s="493"/>
      <c r="BG770" s="493"/>
      <c r="BH770" s="493"/>
      <c r="BI770" s="493"/>
      <c r="BJ770" s="493"/>
      <c r="BK770" s="493"/>
      <c r="BL770" s="493"/>
      <c r="BM770" s="493"/>
      <c r="BN770" s="493"/>
      <c r="BO770" s="493"/>
      <c r="BP770" s="493"/>
      <c r="BQ770" s="493"/>
      <c r="BR770" s="493"/>
      <c r="BS770" s="493"/>
      <c r="BT770" s="493"/>
      <c r="BU770" s="493"/>
      <c r="BV770" s="493"/>
      <c r="BW770" s="493"/>
      <c r="BX770" s="493"/>
      <c r="BY770" s="493"/>
      <c r="BZ770" s="493"/>
      <c r="CA770" s="493"/>
      <c r="CB770" s="493"/>
      <c r="CC770" s="493"/>
      <c r="CD770" s="493"/>
      <c r="CE770" s="493"/>
      <c r="CF770" s="493"/>
      <c r="CG770" s="493"/>
      <c r="CH770" s="493"/>
      <c r="CI770" s="493"/>
      <c r="CJ770" s="493"/>
      <c r="CK770" s="493"/>
      <c r="CL770" s="493"/>
      <c r="CM770" s="493"/>
      <c r="CN770" s="493"/>
      <c r="CO770" s="493"/>
      <c r="CP770" s="493"/>
      <c r="CQ770" s="493"/>
      <c r="CR770" s="493"/>
      <c r="CS770" s="493"/>
      <c r="CT770" s="493"/>
      <c r="CU770" s="493"/>
      <c r="CV770" s="493"/>
      <c r="CW770" s="493"/>
      <c r="CX770" s="493"/>
      <c r="CY770" s="493"/>
      <c r="CZ770" s="493"/>
      <c r="DA770" s="493"/>
      <c r="DB770" s="493"/>
      <c r="DC770" s="493"/>
      <c r="DD770" s="493"/>
      <c r="DE770" s="493"/>
      <c r="DF770" s="493"/>
      <c r="DG770" s="493"/>
      <c r="DH770" s="493"/>
      <c r="DI770" s="493"/>
      <c r="DJ770" s="493"/>
      <c r="DK770" s="493"/>
      <c r="DL770" s="493"/>
      <c r="DM770" s="493"/>
      <c r="DN770" s="493"/>
      <c r="DO770" s="493"/>
      <c r="DP770" s="493"/>
      <c r="DQ770" s="493"/>
      <c r="DR770" s="493"/>
      <c r="DS770" s="493"/>
      <c r="DT770" s="493"/>
      <c r="DU770" s="493"/>
      <c r="DV770" s="493"/>
      <c r="DW770" s="493"/>
      <c r="DX770" s="493"/>
      <c r="DY770" s="493"/>
      <c r="DZ770" s="493"/>
    </row>
    <row r="771" spans="1:130" hidden="1" outlineLevel="2">
      <c r="A771" s="438"/>
      <c r="B771" s="490" t="s">
        <v>300</v>
      </c>
      <c r="C771" s="398" t="s">
        <v>698</v>
      </c>
      <c r="D771" s="399" t="s">
        <v>391</v>
      </c>
      <c r="E771" s="385"/>
      <c r="F771" s="385"/>
      <c r="G771" s="385"/>
      <c r="H771" s="385" t="s">
        <v>3730</v>
      </c>
      <c r="I771" s="385" t="s">
        <v>160</v>
      </c>
      <c r="J771" s="489" t="s">
        <v>365</v>
      </c>
      <c r="K771" s="412"/>
      <c r="L771" s="412"/>
      <c r="M771" s="490" t="s">
        <v>37</v>
      </c>
      <c r="N771" s="490">
        <v>1</v>
      </c>
    </row>
    <row r="772" spans="1:130" s="405" customFormat="1" ht="78.75" customHeight="1" outlineLevel="1" collapsed="1">
      <c r="A772" s="489" t="s">
        <v>1389</v>
      </c>
      <c r="B772" s="490" t="s">
        <v>300</v>
      </c>
      <c r="C772" s="398" t="s">
        <v>408</v>
      </c>
      <c r="D772" s="399" t="s">
        <v>391</v>
      </c>
      <c r="E772" s="490" t="s">
        <v>512</v>
      </c>
      <c r="F772" s="385" t="s">
        <v>810</v>
      </c>
      <c r="G772" s="385"/>
      <c r="H772" s="401" t="s">
        <v>545</v>
      </c>
      <c r="I772" s="385" t="str">
        <f>CONCATENATE(I773," ","(",H773,")","-",N773," ",M773," ",I774,"  ","(",H774,")","-",N774," ",M774," ",I775," ","(",H775,")","-",N775," ",M775," ",I776," ",N776,M776,)</f>
        <v>Ремонт трансформаторов 35 кВ (1Т ТМ-2500, 2Т ТМ-2500 )-2 шт. Ремонт ОПН, разрядников 35 кВ  (ОПН-35 1С,ОПН-35 2С )-6 шт. Текущий ремонт ОПН, разрядников 6-10 кВ (ОПН-10 1Т,ОПН-10 2Т )-6 шт. Ремонт блокировок 3шт.</v>
      </c>
      <c r="J772" s="489" t="s">
        <v>366</v>
      </c>
      <c r="K772" s="450">
        <v>44378</v>
      </c>
      <c r="L772" s="450">
        <v>44408</v>
      </c>
      <c r="M772" s="490"/>
      <c r="N772" s="490"/>
      <c r="O772" s="493"/>
      <c r="P772" s="493"/>
      <c r="Q772" s="493"/>
      <c r="R772" s="493"/>
      <c r="S772" s="493"/>
      <c r="T772" s="493"/>
      <c r="U772" s="493"/>
      <c r="V772" s="493"/>
      <c r="W772" s="493"/>
      <c r="X772" s="493"/>
      <c r="Y772" s="493"/>
      <c r="Z772" s="493"/>
      <c r="AA772" s="493"/>
      <c r="AB772" s="493"/>
      <c r="AC772" s="493"/>
      <c r="AD772" s="493"/>
      <c r="AE772" s="493"/>
      <c r="AF772" s="493"/>
      <c r="AG772" s="493"/>
      <c r="AH772" s="493"/>
      <c r="AI772" s="493"/>
      <c r="AJ772" s="493"/>
      <c r="AK772" s="493"/>
      <c r="AL772" s="493"/>
      <c r="AM772" s="493"/>
      <c r="AN772" s="493"/>
      <c r="AO772" s="493"/>
      <c r="AP772" s="493"/>
      <c r="AQ772" s="493"/>
      <c r="AR772" s="493"/>
      <c r="AS772" s="493"/>
      <c r="AT772" s="493"/>
      <c r="AU772" s="493"/>
      <c r="AV772" s="493"/>
      <c r="AW772" s="493"/>
      <c r="AX772" s="493"/>
      <c r="AY772" s="493"/>
      <c r="AZ772" s="493"/>
      <c r="BA772" s="493"/>
      <c r="BB772" s="493"/>
      <c r="BC772" s="493"/>
      <c r="BD772" s="493"/>
      <c r="BE772" s="493"/>
      <c r="BF772" s="493"/>
      <c r="BG772" s="493"/>
      <c r="BH772" s="493"/>
      <c r="BI772" s="493"/>
      <c r="BJ772" s="493"/>
      <c r="BK772" s="493"/>
      <c r="BL772" s="493"/>
      <c r="BM772" s="493"/>
      <c r="BN772" s="493"/>
      <c r="BO772" s="493"/>
      <c r="BP772" s="493"/>
      <c r="BQ772" s="493"/>
      <c r="BR772" s="493"/>
      <c r="BS772" s="493"/>
      <c r="BT772" s="493"/>
      <c r="BU772" s="493"/>
      <c r="BV772" s="493"/>
      <c r="BW772" s="493"/>
      <c r="BX772" s="493"/>
      <c r="BY772" s="493"/>
      <c r="BZ772" s="493"/>
      <c r="CA772" s="493"/>
      <c r="CB772" s="493"/>
      <c r="CC772" s="493"/>
      <c r="CD772" s="493"/>
      <c r="CE772" s="493"/>
      <c r="CF772" s="493"/>
      <c r="CG772" s="493"/>
      <c r="CH772" s="493"/>
      <c r="CI772" s="493"/>
      <c r="CJ772" s="493"/>
      <c r="CK772" s="493"/>
      <c r="CL772" s="493"/>
      <c r="CM772" s="493"/>
      <c r="CN772" s="493"/>
      <c r="CO772" s="493"/>
      <c r="CP772" s="493"/>
      <c r="CQ772" s="493"/>
      <c r="CR772" s="493"/>
      <c r="CS772" s="493"/>
      <c r="CT772" s="493"/>
      <c r="CU772" s="493"/>
      <c r="CV772" s="493"/>
      <c r="CW772" s="493"/>
      <c r="CX772" s="493"/>
      <c r="CY772" s="493"/>
      <c r="CZ772" s="493"/>
      <c r="DA772" s="493"/>
      <c r="DB772" s="493"/>
      <c r="DC772" s="493"/>
      <c r="DD772" s="493"/>
      <c r="DE772" s="493"/>
      <c r="DF772" s="493"/>
      <c r="DG772" s="493"/>
      <c r="DH772" s="493"/>
      <c r="DI772" s="493"/>
      <c r="DJ772" s="493"/>
      <c r="DK772" s="493"/>
      <c r="DL772" s="493"/>
      <c r="DM772" s="493"/>
      <c r="DN772" s="493"/>
      <c r="DO772" s="493"/>
      <c r="DP772" s="493"/>
      <c r="DQ772" s="493"/>
      <c r="DR772" s="493"/>
      <c r="DS772" s="493"/>
      <c r="DT772" s="493"/>
      <c r="DU772" s="493"/>
      <c r="DV772" s="493"/>
      <c r="DW772" s="493"/>
      <c r="DX772" s="493"/>
      <c r="DY772" s="493"/>
      <c r="DZ772" s="493"/>
    </row>
    <row r="773" spans="1:130" hidden="1" outlineLevel="2">
      <c r="A773" s="438"/>
      <c r="B773" s="490" t="s">
        <v>300</v>
      </c>
      <c r="C773" s="398" t="s">
        <v>408</v>
      </c>
      <c r="D773" s="399" t="s">
        <v>391</v>
      </c>
      <c r="E773" s="385"/>
      <c r="F773" s="385"/>
      <c r="G773" s="385"/>
      <c r="H773" s="385" t="s">
        <v>490</v>
      </c>
      <c r="I773" s="385" t="s">
        <v>160</v>
      </c>
      <c r="J773" s="489" t="s">
        <v>366</v>
      </c>
      <c r="K773" s="412"/>
      <c r="L773" s="412"/>
      <c r="M773" s="490" t="s">
        <v>37</v>
      </c>
      <c r="N773" s="490">
        <v>2</v>
      </c>
    </row>
    <row r="774" spans="1:130" hidden="1" outlineLevel="2">
      <c r="A774" s="438"/>
      <c r="B774" s="490" t="s">
        <v>300</v>
      </c>
      <c r="C774" s="398" t="s">
        <v>408</v>
      </c>
      <c r="D774" s="399" t="s">
        <v>391</v>
      </c>
      <c r="E774" s="385"/>
      <c r="F774" s="385"/>
      <c r="G774" s="385"/>
      <c r="H774" s="385" t="s">
        <v>518</v>
      </c>
      <c r="I774" s="385" t="s">
        <v>491</v>
      </c>
      <c r="J774" s="489" t="s">
        <v>366</v>
      </c>
      <c r="K774" s="412"/>
      <c r="L774" s="412"/>
      <c r="M774" s="490" t="s">
        <v>37</v>
      </c>
      <c r="N774" s="490">
        <v>6</v>
      </c>
    </row>
    <row r="775" spans="1:130" hidden="1" outlineLevel="2">
      <c r="A775" s="438"/>
      <c r="B775" s="490" t="s">
        <v>300</v>
      </c>
      <c r="C775" s="398" t="s">
        <v>408</v>
      </c>
      <c r="D775" s="399" t="s">
        <v>391</v>
      </c>
      <c r="E775" s="385"/>
      <c r="F775" s="385"/>
      <c r="G775" s="385"/>
      <c r="H775" s="385" t="s">
        <v>519</v>
      </c>
      <c r="I775" s="385" t="s">
        <v>527</v>
      </c>
      <c r="J775" s="489" t="s">
        <v>366</v>
      </c>
      <c r="K775" s="412"/>
      <c r="L775" s="412"/>
      <c r="M775" s="490" t="s">
        <v>37</v>
      </c>
      <c r="N775" s="490">
        <v>6</v>
      </c>
    </row>
    <row r="776" spans="1:130" hidden="1" outlineLevel="2">
      <c r="A776" s="438"/>
      <c r="B776" s="490" t="s">
        <v>300</v>
      </c>
      <c r="C776" s="398" t="s">
        <v>408</v>
      </c>
      <c r="D776" s="399" t="s">
        <v>391</v>
      </c>
      <c r="E776" s="385"/>
      <c r="F776" s="385"/>
      <c r="G776" s="385"/>
      <c r="H776" s="385"/>
      <c r="I776" s="385" t="s">
        <v>3371</v>
      </c>
      <c r="J776" s="489" t="s">
        <v>366</v>
      </c>
      <c r="K776" s="412"/>
      <c r="L776" s="412"/>
      <c r="M776" s="490" t="s">
        <v>37</v>
      </c>
      <c r="N776" s="490">
        <v>3</v>
      </c>
    </row>
    <row r="777" spans="1:130" s="405" customFormat="1" ht="87.75" customHeight="1" outlineLevel="1" collapsed="1">
      <c r="A777" s="489" t="s">
        <v>1390</v>
      </c>
      <c r="B777" s="490" t="s">
        <v>300</v>
      </c>
      <c r="C777" s="398" t="s">
        <v>408</v>
      </c>
      <c r="D777" s="399" t="s">
        <v>391</v>
      </c>
      <c r="E777" s="490" t="s">
        <v>489</v>
      </c>
      <c r="F777" s="385" t="s">
        <v>810</v>
      </c>
      <c r="G777" s="385"/>
      <c r="H777" s="401" t="s">
        <v>549</v>
      </c>
      <c r="I777" s="385" t="str">
        <f>CONCATENATE(I778," ","(",H778,")","-",N778," ",M778," ",I779,"  ","(",H779,")","-",N779," ",M779," ",I780," ","(",H780,")","-",N780," ",M780," ",I781," ",N781,M781,)</f>
        <v>Ремонт трансформаторов 35 кВ (1Т ТМ-2500, 2Т ТМ-2500 )-2 шт. Ремонт ОПН, разрядников35 кВ  (ОПН-35 1Т,ОПН-35 2Т, ОПН-10 1Т,ОПН-10 2Т )-12 шт. Ремонт разъединителя 35 кВ (ШР-10 1ТН яч. № 5, ШР-10 2ТСН-10 )-2 шт. Ремонт блокировок 2шт.</v>
      </c>
      <c r="J777" s="489" t="s">
        <v>366</v>
      </c>
      <c r="K777" s="450">
        <v>44348</v>
      </c>
      <c r="L777" s="450">
        <v>44377</v>
      </c>
      <c r="M777" s="490"/>
      <c r="N777" s="490"/>
      <c r="O777" s="493"/>
      <c r="P777" s="493"/>
      <c r="Q777" s="493"/>
      <c r="R777" s="493"/>
      <c r="S777" s="493"/>
      <c r="T777" s="493"/>
      <c r="U777" s="493"/>
      <c r="V777" s="493"/>
      <c r="W777" s="493"/>
      <c r="X777" s="493"/>
      <c r="Y777" s="493"/>
      <c r="Z777" s="493"/>
      <c r="AA777" s="493"/>
      <c r="AB777" s="493"/>
      <c r="AC777" s="493"/>
      <c r="AD777" s="493"/>
      <c r="AE777" s="493"/>
      <c r="AF777" s="493"/>
      <c r="AG777" s="493"/>
      <c r="AH777" s="493"/>
      <c r="AI777" s="493"/>
      <c r="AJ777" s="493"/>
      <c r="AK777" s="493"/>
      <c r="AL777" s="493"/>
      <c r="AM777" s="493"/>
      <c r="AN777" s="493"/>
      <c r="AO777" s="493"/>
      <c r="AP777" s="493"/>
      <c r="AQ777" s="493"/>
      <c r="AR777" s="493"/>
      <c r="AS777" s="493"/>
      <c r="AT777" s="493"/>
      <c r="AU777" s="493"/>
      <c r="AV777" s="493"/>
      <c r="AW777" s="493"/>
      <c r="AX777" s="493"/>
      <c r="AY777" s="493"/>
      <c r="AZ777" s="493"/>
      <c r="BA777" s="493"/>
      <c r="BB777" s="493"/>
      <c r="BC777" s="493"/>
      <c r="BD777" s="493"/>
      <c r="BE777" s="493"/>
      <c r="BF777" s="493"/>
      <c r="BG777" s="493"/>
      <c r="BH777" s="493"/>
      <c r="BI777" s="493"/>
      <c r="BJ777" s="493"/>
      <c r="BK777" s="493"/>
      <c r="BL777" s="493"/>
      <c r="BM777" s="493"/>
      <c r="BN777" s="493"/>
      <c r="BO777" s="493"/>
      <c r="BP777" s="493"/>
      <c r="BQ777" s="493"/>
      <c r="BR777" s="493"/>
      <c r="BS777" s="493"/>
      <c r="BT777" s="493"/>
      <c r="BU777" s="493"/>
      <c r="BV777" s="493"/>
      <c r="BW777" s="493"/>
      <c r="BX777" s="493"/>
      <c r="BY777" s="493"/>
      <c r="BZ777" s="493"/>
      <c r="CA777" s="493"/>
      <c r="CB777" s="493"/>
      <c r="CC777" s="493"/>
      <c r="CD777" s="493"/>
      <c r="CE777" s="493"/>
      <c r="CF777" s="493"/>
      <c r="CG777" s="493"/>
      <c r="CH777" s="493"/>
      <c r="CI777" s="493"/>
      <c r="CJ777" s="493"/>
      <c r="CK777" s="493"/>
      <c r="CL777" s="493"/>
      <c r="CM777" s="493"/>
      <c r="CN777" s="493"/>
      <c r="CO777" s="493"/>
      <c r="CP777" s="493"/>
      <c r="CQ777" s="493"/>
      <c r="CR777" s="493"/>
      <c r="CS777" s="493"/>
      <c r="CT777" s="493"/>
      <c r="CU777" s="493"/>
      <c r="CV777" s="493"/>
      <c r="CW777" s="493"/>
      <c r="CX777" s="493"/>
      <c r="CY777" s="493"/>
      <c r="CZ777" s="493"/>
      <c r="DA777" s="493"/>
      <c r="DB777" s="493"/>
      <c r="DC777" s="493"/>
      <c r="DD777" s="493"/>
      <c r="DE777" s="493"/>
      <c r="DF777" s="493"/>
      <c r="DG777" s="493"/>
      <c r="DH777" s="493"/>
      <c r="DI777" s="493"/>
      <c r="DJ777" s="493"/>
      <c r="DK777" s="493"/>
      <c r="DL777" s="493"/>
      <c r="DM777" s="493"/>
      <c r="DN777" s="493"/>
      <c r="DO777" s="493"/>
      <c r="DP777" s="493"/>
      <c r="DQ777" s="493"/>
      <c r="DR777" s="493"/>
      <c r="DS777" s="493"/>
      <c r="DT777" s="493"/>
      <c r="DU777" s="493"/>
      <c r="DV777" s="493"/>
      <c r="DW777" s="493"/>
      <c r="DX777" s="493"/>
      <c r="DY777" s="493"/>
      <c r="DZ777" s="493"/>
    </row>
    <row r="778" spans="1:130" hidden="1" outlineLevel="2">
      <c r="A778" s="438"/>
      <c r="B778" s="490" t="s">
        <v>300</v>
      </c>
      <c r="C778" s="398" t="s">
        <v>408</v>
      </c>
      <c r="D778" s="399" t="s">
        <v>391</v>
      </c>
      <c r="E778" s="385"/>
      <c r="F778" s="385"/>
      <c r="G778" s="385"/>
      <c r="H778" s="385" t="s">
        <v>490</v>
      </c>
      <c r="I778" s="385" t="s">
        <v>160</v>
      </c>
      <c r="J778" s="489" t="s">
        <v>366</v>
      </c>
      <c r="K778" s="412"/>
      <c r="L778" s="412"/>
      <c r="M778" s="490" t="s">
        <v>37</v>
      </c>
      <c r="N778" s="490">
        <v>2</v>
      </c>
    </row>
    <row r="779" spans="1:130" ht="42" hidden="1" customHeight="1" outlineLevel="2">
      <c r="A779" s="438"/>
      <c r="B779" s="490" t="s">
        <v>300</v>
      </c>
      <c r="C779" s="398" t="s">
        <v>408</v>
      </c>
      <c r="D779" s="399" t="s">
        <v>391</v>
      </c>
      <c r="E779" s="385"/>
      <c r="F779" s="385"/>
      <c r="G779" s="385"/>
      <c r="H779" s="385" t="s">
        <v>494</v>
      </c>
      <c r="I779" s="385" t="s">
        <v>492</v>
      </c>
      <c r="J779" s="489" t="s">
        <v>366</v>
      </c>
      <c r="K779" s="412"/>
      <c r="L779" s="412"/>
      <c r="M779" s="490" t="s">
        <v>37</v>
      </c>
      <c r="N779" s="490">
        <v>12</v>
      </c>
    </row>
    <row r="780" spans="1:130" hidden="1" outlineLevel="2">
      <c r="A780" s="438"/>
      <c r="B780" s="490" t="s">
        <v>300</v>
      </c>
      <c r="C780" s="398" t="s">
        <v>408</v>
      </c>
      <c r="D780" s="399" t="s">
        <v>391</v>
      </c>
      <c r="E780" s="385"/>
      <c r="F780" s="385"/>
      <c r="G780" s="385"/>
      <c r="H780" s="385" t="s">
        <v>495</v>
      </c>
      <c r="I780" s="385" t="s">
        <v>493</v>
      </c>
      <c r="J780" s="489" t="s">
        <v>366</v>
      </c>
      <c r="K780" s="412"/>
      <c r="L780" s="412"/>
      <c r="M780" s="490" t="s">
        <v>37</v>
      </c>
      <c r="N780" s="490">
        <v>2</v>
      </c>
    </row>
    <row r="781" spans="1:130" hidden="1" outlineLevel="2">
      <c r="A781" s="438"/>
      <c r="B781" s="490" t="s">
        <v>300</v>
      </c>
      <c r="C781" s="398" t="s">
        <v>408</v>
      </c>
      <c r="D781" s="399" t="s">
        <v>391</v>
      </c>
      <c r="E781" s="385"/>
      <c r="F781" s="385"/>
      <c r="G781" s="385"/>
      <c r="H781" s="385"/>
      <c r="I781" s="385" t="s">
        <v>3371</v>
      </c>
      <c r="J781" s="489" t="s">
        <v>366</v>
      </c>
      <c r="K781" s="412"/>
      <c r="L781" s="412"/>
      <c r="M781" s="490" t="s">
        <v>37</v>
      </c>
      <c r="N781" s="490">
        <v>2</v>
      </c>
    </row>
    <row r="782" spans="1:130" s="405" customFormat="1" ht="42" customHeight="1" outlineLevel="1" collapsed="1">
      <c r="A782" s="489" t="s">
        <v>1391</v>
      </c>
      <c r="B782" s="490" t="s">
        <v>300</v>
      </c>
      <c r="C782" s="398" t="s">
        <v>559</v>
      </c>
      <c r="D782" s="399" t="s">
        <v>391</v>
      </c>
      <c r="E782" s="490" t="s">
        <v>557</v>
      </c>
      <c r="F782" s="385" t="s">
        <v>810</v>
      </c>
      <c r="G782" s="385"/>
      <c r="H782" s="401" t="s">
        <v>556</v>
      </c>
      <c r="I782" s="385" t="str">
        <f>CONCATENATE(I783," ","(",H783,")","-",N783," ",M783)</f>
        <v>Ремонт выключателей 35 кВ (МКП-35 В 35 Т-7,Т-8)-2 шт.</v>
      </c>
      <c r="J782" s="489" t="s">
        <v>366</v>
      </c>
      <c r="K782" s="450">
        <v>44470</v>
      </c>
      <c r="L782" s="450">
        <v>44500</v>
      </c>
      <c r="M782" s="490"/>
      <c r="N782" s="490"/>
      <c r="O782" s="493"/>
      <c r="P782" s="493"/>
      <c r="Q782" s="493"/>
      <c r="R782" s="493"/>
      <c r="S782" s="493"/>
      <c r="T782" s="493"/>
      <c r="U782" s="493"/>
      <c r="V782" s="493"/>
      <c r="W782" s="493"/>
      <c r="X782" s="493"/>
      <c r="Y782" s="493"/>
      <c r="Z782" s="493"/>
      <c r="AA782" s="493"/>
      <c r="AB782" s="493"/>
      <c r="AC782" s="493"/>
      <c r="AD782" s="493"/>
      <c r="AE782" s="493"/>
      <c r="AF782" s="493"/>
      <c r="AG782" s="493"/>
      <c r="AH782" s="493"/>
      <c r="AI782" s="493"/>
      <c r="AJ782" s="493"/>
      <c r="AK782" s="493"/>
      <c r="AL782" s="493"/>
      <c r="AM782" s="493"/>
      <c r="AN782" s="493"/>
      <c r="AO782" s="493"/>
      <c r="AP782" s="493"/>
      <c r="AQ782" s="493"/>
      <c r="AR782" s="493"/>
      <c r="AS782" s="493"/>
      <c r="AT782" s="493"/>
      <c r="AU782" s="493"/>
      <c r="AV782" s="493"/>
      <c r="AW782" s="493"/>
      <c r="AX782" s="493"/>
      <c r="AY782" s="493"/>
      <c r="AZ782" s="493"/>
      <c r="BA782" s="493"/>
      <c r="BB782" s="493"/>
      <c r="BC782" s="493"/>
      <c r="BD782" s="493"/>
      <c r="BE782" s="493"/>
      <c r="BF782" s="493"/>
      <c r="BG782" s="493"/>
      <c r="BH782" s="493"/>
      <c r="BI782" s="493"/>
      <c r="BJ782" s="493"/>
      <c r="BK782" s="493"/>
      <c r="BL782" s="493"/>
      <c r="BM782" s="493"/>
      <c r="BN782" s="493"/>
      <c r="BO782" s="493"/>
      <c r="BP782" s="493"/>
      <c r="BQ782" s="493"/>
      <c r="BR782" s="493"/>
      <c r="BS782" s="493"/>
      <c r="BT782" s="493"/>
      <c r="BU782" s="493"/>
      <c r="BV782" s="493"/>
      <c r="BW782" s="493"/>
      <c r="BX782" s="493"/>
      <c r="BY782" s="493"/>
      <c r="BZ782" s="493"/>
      <c r="CA782" s="493"/>
      <c r="CB782" s="493"/>
      <c r="CC782" s="493"/>
      <c r="CD782" s="493"/>
      <c r="CE782" s="493"/>
      <c r="CF782" s="493"/>
      <c r="CG782" s="493"/>
      <c r="CH782" s="493"/>
      <c r="CI782" s="493"/>
      <c r="CJ782" s="493"/>
      <c r="CK782" s="493"/>
      <c r="CL782" s="493"/>
      <c r="CM782" s="493"/>
      <c r="CN782" s="493"/>
      <c r="CO782" s="493"/>
      <c r="CP782" s="493"/>
      <c r="CQ782" s="493"/>
      <c r="CR782" s="493"/>
      <c r="CS782" s="493"/>
      <c r="CT782" s="493"/>
      <c r="CU782" s="493"/>
      <c r="CV782" s="493"/>
      <c r="CW782" s="493"/>
      <c r="CX782" s="493"/>
      <c r="CY782" s="493"/>
      <c r="CZ782" s="493"/>
      <c r="DA782" s="493"/>
      <c r="DB782" s="493"/>
      <c r="DC782" s="493"/>
      <c r="DD782" s="493"/>
      <c r="DE782" s="493"/>
      <c r="DF782" s="493"/>
      <c r="DG782" s="493"/>
      <c r="DH782" s="493"/>
      <c r="DI782" s="493"/>
      <c r="DJ782" s="493"/>
      <c r="DK782" s="493"/>
      <c r="DL782" s="493"/>
      <c r="DM782" s="493"/>
      <c r="DN782" s="493"/>
      <c r="DO782" s="493"/>
      <c r="DP782" s="493"/>
      <c r="DQ782" s="493"/>
      <c r="DR782" s="493"/>
      <c r="DS782" s="493"/>
      <c r="DT782" s="493"/>
      <c r="DU782" s="493"/>
      <c r="DV782" s="493"/>
      <c r="DW782" s="493"/>
      <c r="DX782" s="493"/>
      <c r="DY782" s="493"/>
      <c r="DZ782" s="493"/>
    </row>
    <row r="783" spans="1:130" hidden="1" outlineLevel="2">
      <c r="A783" s="438"/>
      <c r="B783" s="490" t="s">
        <v>300</v>
      </c>
      <c r="C783" s="398" t="s">
        <v>559</v>
      </c>
      <c r="D783" s="399" t="s">
        <v>391</v>
      </c>
      <c r="E783" s="385"/>
      <c r="F783" s="396"/>
      <c r="G783" s="385"/>
      <c r="H783" s="385" t="s">
        <v>560</v>
      </c>
      <c r="I783" s="385" t="s">
        <v>189</v>
      </c>
      <c r="J783" s="489" t="s">
        <v>366</v>
      </c>
      <c r="K783" s="412"/>
      <c r="L783" s="412"/>
      <c r="M783" s="490" t="s">
        <v>37</v>
      </c>
      <c r="N783" s="490">
        <v>2</v>
      </c>
    </row>
    <row r="784" spans="1:130" s="405" customFormat="1" ht="40.5" outlineLevel="1" collapsed="1">
      <c r="A784" s="489" t="s">
        <v>1392</v>
      </c>
      <c r="B784" s="490" t="s">
        <v>300</v>
      </c>
      <c r="C784" s="398" t="s">
        <v>559</v>
      </c>
      <c r="D784" s="399" t="s">
        <v>391</v>
      </c>
      <c r="E784" s="490" t="s">
        <v>564</v>
      </c>
      <c r="F784" s="385" t="s">
        <v>810</v>
      </c>
      <c r="G784" s="385"/>
      <c r="H784" s="401" t="s">
        <v>563</v>
      </c>
      <c r="I784" s="385" t="str">
        <f>CONCATENATE(I785," ","(",H785,")","-",N785," ",M785)</f>
        <v>Ремонт трансформаторов 35 кВ (1Т - ТМ-35/6 6300,2Т - ТМН-35/6 10000кВА)-2 шт.</v>
      </c>
      <c r="J784" s="489" t="s">
        <v>366</v>
      </c>
      <c r="K784" s="450">
        <v>44440</v>
      </c>
      <c r="L784" s="450">
        <v>44469</v>
      </c>
      <c r="M784" s="490"/>
      <c r="N784" s="490"/>
      <c r="O784" s="493"/>
      <c r="P784" s="493"/>
      <c r="Q784" s="493"/>
      <c r="R784" s="493"/>
      <c r="S784" s="493"/>
      <c r="T784" s="493"/>
      <c r="U784" s="493"/>
      <c r="V784" s="493"/>
      <c r="W784" s="493"/>
      <c r="X784" s="493"/>
      <c r="Y784" s="493"/>
      <c r="Z784" s="493"/>
      <c r="AA784" s="493"/>
      <c r="AB784" s="493"/>
      <c r="AC784" s="493"/>
      <c r="AD784" s="493"/>
      <c r="AE784" s="493"/>
      <c r="AF784" s="493"/>
      <c r="AG784" s="493"/>
      <c r="AH784" s="493"/>
      <c r="AI784" s="493"/>
      <c r="AJ784" s="493"/>
      <c r="AK784" s="493"/>
      <c r="AL784" s="493"/>
      <c r="AM784" s="493"/>
      <c r="AN784" s="493"/>
      <c r="AO784" s="493"/>
      <c r="AP784" s="493"/>
      <c r="AQ784" s="493"/>
      <c r="AR784" s="493"/>
      <c r="AS784" s="493"/>
      <c r="AT784" s="493"/>
      <c r="AU784" s="493"/>
      <c r="AV784" s="493"/>
      <c r="AW784" s="493"/>
      <c r="AX784" s="493"/>
      <c r="AY784" s="493"/>
      <c r="AZ784" s="493"/>
      <c r="BA784" s="493"/>
      <c r="BB784" s="493"/>
      <c r="BC784" s="493"/>
      <c r="BD784" s="493"/>
      <c r="BE784" s="493"/>
      <c r="BF784" s="493"/>
      <c r="BG784" s="493"/>
      <c r="BH784" s="493"/>
      <c r="BI784" s="493"/>
      <c r="BJ784" s="493"/>
      <c r="BK784" s="493"/>
      <c r="BL784" s="493"/>
      <c r="BM784" s="493"/>
      <c r="BN784" s="493"/>
      <c r="BO784" s="493"/>
      <c r="BP784" s="493"/>
      <c r="BQ784" s="493"/>
      <c r="BR784" s="493"/>
      <c r="BS784" s="493"/>
      <c r="BT784" s="493"/>
      <c r="BU784" s="493"/>
      <c r="BV784" s="493"/>
      <c r="BW784" s="493"/>
      <c r="BX784" s="493"/>
      <c r="BY784" s="493"/>
      <c r="BZ784" s="493"/>
      <c r="CA784" s="493"/>
      <c r="CB784" s="493"/>
      <c r="CC784" s="493"/>
      <c r="CD784" s="493"/>
      <c r="CE784" s="493"/>
      <c r="CF784" s="493"/>
      <c r="CG784" s="493"/>
      <c r="CH784" s="493"/>
      <c r="CI784" s="493"/>
      <c r="CJ784" s="493"/>
      <c r="CK784" s="493"/>
      <c r="CL784" s="493"/>
      <c r="CM784" s="493"/>
      <c r="CN784" s="493"/>
      <c r="CO784" s="493"/>
      <c r="CP784" s="493"/>
      <c r="CQ784" s="493"/>
      <c r="CR784" s="493"/>
      <c r="CS784" s="493"/>
      <c r="CT784" s="493"/>
      <c r="CU784" s="493"/>
      <c r="CV784" s="493"/>
      <c r="CW784" s="493"/>
      <c r="CX784" s="493"/>
      <c r="CY784" s="493"/>
      <c r="CZ784" s="493"/>
      <c r="DA784" s="493"/>
      <c r="DB784" s="493"/>
      <c r="DC784" s="493"/>
      <c r="DD784" s="493"/>
      <c r="DE784" s="493"/>
      <c r="DF784" s="493"/>
      <c r="DG784" s="493"/>
      <c r="DH784" s="493"/>
      <c r="DI784" s="493"/>
      <c r="DJ784" s="493"/>
      <c r="DK784" s="493"/>
      <c r="DL784" s="493"/>
      <c r="DM784" s="493"/>
      <c r="DN784" s="493"/>
      <c r="DO784" s="493"/>
      <c r="DP784" s="493"/>
      <c r="DQ784" s="493"/>
      <c r="DR784" s="493"/>
      <c r="DS784" s="493"/>
      <c r="DT784" s="493"/>
      <c r="DU784" s="493"/>
      <c r="DV784" s="493"/>
      <c r="DW784" s="493"/>
      <c r="DX784" s="493"/>
      <c r="DY784" s="493"/>
      <c r="DZ784" s="493"/>
    </row>
    <row r="785" spans="1:130" ht="40.5" hidden="1" outlineLevel="2">
      <c r="A785" s="438"/>
      <c r="B785" s="490" t="s">
        <v>300</v>
      </c>
      <c r="C785" s="398" t="s">
        <v>559</v>
      </c>
      <c r="D785" s="399" t="s">
        <v>391</v>
      </c>
      <c r="E785" s="385"/>
      <c r="F785" s="396"/>
      <c r="G785" s="385"/>
      <c r="H785" s="385" t="s">
        <v>565</v>
      </c>
      <c r="I785" s="385" t="s">
        <v>160</v>
      </c>
      <c r="J785" s="489" t="s">
        <v>366</v>
      </c>
      <c r="K785" s="412"/>
      <c r="L785" s="412"/>
      <c r="M785" s="490" t="s">
        <v>37</v>
      </c>
      <c r="N785" s="490">
        <v>2</v>
      </c>
    </row>
    <row r="786" spans="1:130" s="405" customFormat="1" ht="40.9" customHeight="1" outlineLevel="1" collapsed="1">
      <c r="A786" s="489" t="s">
        <v>1393</v>
      </c>
      <c r="B786" s="490" t="s">
        <v>300</v>
      </c>
      <c r="C786" s="398" t="s">
        <v>559</v>
      </c>
      <c r="D786" s="399" t="s">
        <v>391</v>
      </c>
      <c r="E786" s="490" t="s">
        <v>566</v>
      </c>
      <c r="F786" s="385" t="s">
        <v>810</v>
      </c>
      <c r="G786" s="385"/>
      <c r="H786" s="401" t="s">
        <v>567</v>
      </c>
      <c r="I786" s="385" t="str">
        <f>CONCATENATE(I787," ","(",H787,")","-",N787," ",M787)</f>
        <v>Ремонт выключателей 6-10 кВ (ВМПЭ-10 В 6 яч 21)-1 шт.</v>
      </c>
      <c r="J786" s="489" t="s">
        <v>366</v>
      </c>
      <c r="K786" s="450">
        <v>44228</v>
      </c>
      <c r="L786" s="450">
        <v>44255</v>
      </c>
      <c r="M786" s="490"/>
      <c r="N786" s="490"/>
      <c r="O786" s="493"/>
      <c r="P786" s="493"/>
      <c r="Q786" s="493"/>
      <c r="R786" s="493"/>
      <c r="S786" s="493"/>
      <c r="T786" s="493"/>
      <c r="U786" s="493"/>
      <c r="V786" s="493"/>
      <c r="W786" s="493"/>
      <c r="X786" s="493"/>
      <c r="Y786" s="493"/>
      <c r="Z786" s="493"/>
      <c r="AA786" s="493"/>
      <c r="AB786" s="493"/>
      <c r="AC786" s="493"/>
      <c r="AD786" s="493"/>
      <c r="AE786" s="493"/>
      <c r="AF786" s="493"/>
      <c r="AG786" s="493"/>
      <c r="AH786" s="493"/>
      <c r="AI786" s="493"/>
      <c r="AJ786" s="493"/>
      <c r="AK786" s="493"/>
      <c r="AL786" s="493"/>
      <c r="AM786" s="493"/>
      <c r="AN786" s="493"/>
      <c r="AO786" s="493"/>
      <c r="AP786" s="493"/>
      <c r="AQ786" s="493"/>
      <c r="AR786" s="493"/>
      <c r="AS786" s="493"/>
      <c r="AT786" s="493"/>
      <c r="AU786" s="493"/>
      <c r="AV786" s="493"/>
      <c r="AW786" s="493"/>
      <c r="AX786" s="493"/>
      <c r="AY786" s="493"/>
      <c r="AZ786" s="493"/>
      <c r="BA786" s="493"/>
      <c r="BB786" s="493"/>
      <c r="BC786" s="493"/>
      <c r="BD786" s="493"/>
      <c r="BE786" s="493"/>
      <c r="BF786" s="493"/>
      <c r="BG786" s="493"/>
      <c r="BH786" s="493"/>
      <c r="BI786" s="493"/>
      <c r="BJ786" s="493"/>
      <c r="BK786" s="493"/>
      <c r="BL786" s="493"/>
      <c r="BM786" s="493"/>
      <c r="BN786" s="493"/>
      <c r="BO786" s="493"/>
      <c r="BP786" s="493"/>
      <c r="BQ786" s="493"/>
      <c r="BR786" s="493"/>
      <c r="BS786" s="493"/>
      <c r="BT786" s="493"/>
      <c r="BU786" s="493"/>
      <c r="BV786" s="493"/>
      <c r="BW786" s="493"/>
      <c r="BX786" s="493"/>
      <c r="BY786" s="493"/>
      <c r="BZ786" s="493"/>
      <c r="CA786" s="493"/>
      <c r="CB786" s="493"/>
      <c r="CC786" s="493"/>
      <c r="CD786" s="493"/>
      <c r="CE786" s="493"/>
      <c r="CF786" s="493"/>
      <c r="CG786" s="493"/>
      <c r="CH786" s="493"/>
      <c r="CI786" s="493"/>
      <c r="CJ786" s="493"/>
      <c r="CK786" s="493"/>
      <c r="CL786" s="493"/>
      <c r="CM786" s="493"/>
      <c r="CN786" s="493"/>
      <c r="CO786" s="493"/>
      <c r="CP786" s="493"/>
      <c r="CQ786" s="493"/>
      <c r="CR786" s="493"/>
      <c r="CS786" s="493"/>
      <c r="CT786" s="493"/>
      <c r="CU786" s="493"/>
      <c r="CV786" s="493"/>
      <c r="CW786" s="493"/>
      <c r="CX786" s="493"/>
      <c r="CY786" s="493"/>
      <c r="CZ786" s="493"/>
      <c r="DA786" s="493"/>
      <c r="DB786" s="493"/>
      <c r="DC786" s="493"/>
      <c r="DD786" s="493"/>
      <c r="DE786" s="493"/>
      <c r="DF786" s="493"/>
      <c r="DG786" s="493"/>
      <c r="DH786" s="493"/>
      <c r="DI786" s="493"/>
      <c r="DJ786" s="493"/>
      <c r="DK786" s="493"/>
      <c r="DL786" s="493"/>
      <c r="DM786" s="493"/>
      <c r="DN786" s="493"/>
      <c r="DO786" s="493"/>
      <c r="DP786" s="493"/>
      <c r="DQ786" s="493"/>
      <c r="DR786" s="493"/>
      <c r="DS786" s="493"/>
      <c r="DT786" s="493"/>
      <c r="DU786" s="493"/>
      <c r="DV786" s="493"/>
      <c r="DW786" s="493"/>
      <c r="DX786" s="493"/>
      <c r="DY786" s="493"/>
      <c r="DZ786" s="493"/>
    </row>
    <row r="787" spans="1:130" hidden="1" outlineLevel="2">
      <c r="A787" s="438"/>
      <c r="B787" s="490" t="s">
        <v>300</v>
      </c>
      <c r="C787" s="398" t="s">
        <v>559</v>
      </c>
      <c r="D787" s="399" t="s">
        <v>391</v>
      </c>
      <c r="E787" s="385"/>
      <c r="F787" s="396"/>
      <c r="G787" s="385"/>
      <c r="H787" s="385" t="s">
        <v>568</v>
      </c>
      <c r="I787" s="385" t="s">
        <v>191</v>
      </c>
      <c r="J787" s="489" t="s">
        <v>366</v>
      </c>
      <c r="K787" s="412"/>
      <c r="L787" s="412"/>
      <c r="M787" s="490" t="s">
        <v>37</v>
      </c>
      <c r="N787" s="490">
        <v>1</v>
      </c>
    </row>
    <row r="788" spans="1:130" s="405" customFormat="1" ht="40.5" outlineLevel="1" collapsed="1">
      <c r="A788" s="489" t="s">
        <v>1394</v>
      </c>
      <c r="B788" s="490" t="s">
        <v>300</v>
      </c>
      <c r="C788" s="398" t="s">
        <v>559</v>
      </c>
      <c r="D788" s="399" t="s">
        <v>391</v>
      </c>
      <c r="E788" s="490" t="s">
        <v>569</v>
      </c>
      <c r="F788" s="385" t="s">
        <v>810</v>
      </c>
      <c r="G788" s="385"/>
      <c r="H788" s="401" t="s">
        <v>570</v>
      </c>
      <c r="I788" s="385" t="str">
        <f>CONCATENATE(I789," ","(",H789,")","-",N789," ",M789," ",I790," ","(",H790,")","-",N790," ",M790)</f>
        <v>Ремонт отделителя 35 кВ (ОД-35 1Т,2Т)-2 шт. Ремонт короткозамыкателя 35 кВ (КЗ-35 1Т,2Т)-2 шт.</v>
      </c>
      <c r="J788" s="489" t="s">
        <v>366</v>
      </c>
      <c r="K788" s="450">
        <v>44470</v>
      </c>
      <c r="L788" s="450">
        <v>44500</v>
      </c>
      <c r="M788" s="490"/>
      <c r="N788" s="490"/>
      <c r="O788" s="493"/>
      <c r="P788" s="493"/>
      <c r="Q788" s="493"/>
      <c r="R788" s="493"/>
      <c r="S788" s="493"/>
      <c r="T788" s="493"/>
      <c r="U788" s="493"/>
      <c r="V788" s="493"/>
      <c r="W788" s="493"/>
      <c r="X788" s="493"/>
      <c r="Y788" s="493"/>
      <c r="Z788" s="493"/>
      <c r="AA788" s="493"/>
      <c r="AB788" s="493"/>
      <c r="AC788" s="493"/>
      <c r="AD788" s="493"/>
      <c r="AE788" s="493"/>
      <c r="AF788" s="493"/>
      <c r="AG788" s="493"/>
      <c r="AH788" s="493"/>
      <c r="AI788" s="493"/>
      <c r="AJ788" s="493"/>
      <c r="AK788" s="493"/>
      <c r="AL788" s="493"/>
      <c r="AM788" s="493"/>
      <c r="AN788" s="493"/>
      <c r="AO788" s="493"/>
      <c r="AP788" s="493"/>
      <c r="AQ788" s="493"/>
      <c r="AR788" s="493"/>
      <c r="AS788" s="493"/>
      <c r="AT788" s="493"/>
      <c r="AU788" s="493"/>
      <c r="AV788" s="493"/>
      <c r="AW788" s="493"/>
      <c r="AX788" s="493"/>
      <c r="AY788" s="493"/>
      <c r="AZ788" s="493"/>
      <c r="BA788" s="493"/>
      <c r="BB788" s="493"/>
      <c r="BC788" s="493"/>
      <c r="BD788" s="493"/>
      <c r="BE788" s="493"/>
      <c r="BF788" s="493"/>
      <c r="BG788" s="493"/>
      <c r="BH788" s="493"/>
      <c r="BI788" s="493"/>
      <c r="BJ788" s="493"/>
      <c r="BK788" s="493"/>
      <c r="BL788" s="493"/>
      <c r="BM788" s="493"/>
      <c r="BN788" s="493"/>
      <c r="BO788" s="493"/>
      <c r="BP788" s="493"/>
      <c r="BQ788" s="493"/>
      <c r="BR788" s="493"/>
      <c r="BS788" s="493"/>
      <c r="BT788" s="493"/>
      <c r="BU788" s="493"/>
      <c r="BV788" s="493"/>
      <c r="BW788" s="493"/>
      <c r="BX788" s="493"/>
      <c r="BY788" s="493"/>
      <c r="BZ788" s="493"/>
      <c r="CA788" s="493"/>
      <c r="CB788" s="493"/>
      <c r="CC788" s="493"/>
      <c r="CD788" s="493"/>
      <c r="CE788" s="493"/>
      <c r="CF788" s="493"/>
      <c r="CG788" s="493"/>
      <c r="CH788" s="493"/>
      <c r="CI788" s="493"/>
      <c r="CJ788" s="493"/>
      <c r="CK788" s="493"/>
      <c r="CL788" s="493"/>
      <c r="CM788" s="493"/>
      <c r="CN788" s="493"/>
      <c r="CO788" s="493"/>
      <c r="CP788" s="493"/>
      <c r="CQ788" s="493"/>
      <c r="CR788" s="493"/>
      <c r="CS788" s="493"/>
      <c r="CT788" s="493"/>
      <c r="CU788" s="493"/>
      <c r="CV788" s="493"/>
      <c r="CW788" s="493"/>
      <c r="CX788" s="493"/>
      <c r="CY788" s="493"/>
      <c r="CZ788" s="493"/>
      <c r="DA788" s="493"/>
      <c r="DB788" s="493"/>
      <c r="DC788" s="493"/>
      <c r="DD788" s="493"/>
      <c r="DE788" s="493"/>
      <c r="DF788" s="493"/>
      <c r="DG788" s="493"/>
      <c r="DH788" s="493"/>
      <c r="DI788" s="493"/>
      <c r="DJ788" s="493"/>
      <c r="DK788" s="493"/>
      <c r="DL788" s="493"/>
      <c r="DM788" s="493"/>
      <c r="DN788" s="493"/>
      <c r="DO788" s="493"/>
      <c r="DP788" s="493"/>
      <c r="DQ788" s="493"/>
      <c r="DR788" s="493"/>
      <c r="DS788" s="493"/>
      <c r="DT788" s="493"/>
      <c r="DU788" s="493"/>
      <c r="DV788" s="493"/>
      <c r="DW788" s="493"/>
      <c r="DX788" s="493"/>
      <c r="DY788" s="493"/>
      <c r="DZ788" s="493"/>
    </row>
    <row r="789" spans="1:130" hidden="1" outlineLevel="2">
      <c r="A789" s="438"/>
      <c r="B789" s="490" t="s">
        <v>300</v>
      </c>
      <c r="C789" s="398" t="s">
        <v>559</v>
      </c>
      <c r="D789" s="399" t="s">
        <v>391</v>
      </c>
      <c r="E789" s="385"/>
      <c r="F789" s="385"/>
      <c r="G789" s="385"/>
      <c r="H789" s="385" t="s">
        <v>573</v>
      </c>
      <c r="I789" s="385" t="s">
        <v>571</v>
      </c>
      <c r="J789" s="489" t="s">
        <v>366</v>
      </c>
      <c r="K789" s="412"/>
      <c r="L789" s="412"/>
      <c r="M789" s="490" t="s">
        <v>37</v>
      </c>
      <c r="N789" s="490">
        <v>2</v>
      </c>
    </row>
    <row r="790" spans="1:130" hidden="1" outlineLevel="2">
      <c r="A790" s="450"/>
      <c r="B790" s="490" t="s">
        <v>300</v>
      </c>
      <c r="C790" s="398" t="s">
        <v>559</v>
      </c>
      <c r="D790" s="399" t="s">
        <v>391</v>
      </c>
      <c r="E790" s="385"/>
      <c r="F790" s="385"/>
      <c r="G790" s="385"/>
      <c r="H790" s="385" t="s">
        <v>574</v>
      </c>
      <c r="I790" s="385" t="s">
        <v>572</v>
      </c>
      <c r="J790" s="489" t="s">
        <v>366</v>
      </c>
      <c r="K790" s="412"/>
      <c r="L790" s="412"/>
      <c r="M790" s="490" t="s">
        <v>37</v>
      </c>
      <c r="N790" s="490">
        <v>2</v>
      </c>
    </row>
    <row r="791" spans="1:130" s="405" customFormat="1" ht="45" customHeight="1" outlineLevel="1" collapsed="1">
      <c r="A791" s="489" t="s">
        <v>1395</v>
      </c>
      <c r="B791" s="490" t="s">
        <v>300</v>
      </c>
      <c r="C791" s="398" t="s">
        <v>559</v>
      </c>
      <c r="D791" s="399" t="s">
        <v>391</v>
      </c>
      <c r="E791" s="490" t="s">
        <v>575</v>
      </c>
      <c r="F791" s="385" t="s">
        <v>810</v>
      </c>
      <c r="G791" s="385"/>
      <c r="H791" s="401" t="s">
        <v>576</v>
      </c>
      <c r="I791" s="385" t="str">
        <f>CONCATENATE(I792," ","(",H792,")","-",N792," ",M792)</f>
        <v>Ремонт выключателей 35 кВ (ВМ - 35/600 В 35 Т-13 )-1 шт.</v>
      </c>
      <c r="J791" s="489" t="s">
        <v>366</v>
      </c>
      <c r="K791" s="450">
        <v>44317</v>
      </c>
      <c r="L791" s="450">
        <v>44347</v>
      </c>
      <c r="M791" s="490"/>
      <c r="N791" s="490"/>
      <c r="O791" s="493"/>
      <c r="P791" s="493"/>
      <c r="Q791" s="493"/>
      <c r="R791" s="493"/>
      <c r="S791" s="493"/>
      <c r="T791" s="493"/>
      <c r="U791" s="493"/>
      <c r="V791" s="493"/>
      <c r="W791" s="493"/>
      <c r="X791" s="493"/>
      <c r="Y791" s="493"/>
      <c r="Z791" s="493"/>
      <c r="AA791" s="493"/>
      <c r="AB791" s="493"/>
      <c r="AC791" s="493"/>
      <c r="AD791" s="493"/>
      <c r="AE791" s="493"/>
      <c r="AF791" s="493"/>
      <c r="AG791" s="493"/>
      <c r="AH791" s="493"/>
      <c r="AI791" s="493"/>
      <c r="AJ791" s="493"/>
      <c r="AK791" s="493"/>
      <c r="AL791" s="493"/>
      <c r="AM791" s="493"/>
      <c r="AN791" s="493"/>
      <c r="AO791" s="493"/>
      <c r="AP791" s="493"/>
      <c r="AQ791" s="493"/>
      <c r="AR791" s="493"/>
      <c r="AS791" s="493"/>
      <c r="AT791" s="493"/>
      <c r="AU791" s="493"/>
      <c r="AV791" s="493"/>
      <c r="AW791" s="493"/>
      <c r="AX791" s="493"/>
      <c r="AY791" s="493"/>
      <c r="AZ791" s="493"/>
      <c r="BA791" s="493"/>
      <c r="BB791" s="493"/>
      <c r="BC791" s="493"/>
      <c r="BD791" s="493"/>
      <c r="BE791" s="493"/>
      <c r="BF791" s="493"/>
      <c r="BG791" s="493"/>
      <c r="BH791" s="493"/>
      <c r="BI791" s="493"/>
      <c r="BJ791" s="493"/>
      <c r="BK791" s="493"/>
      <c r="BL791" s="493"/>
      <c r="BM791" s="493"/>
      <c r="BN791" s="493"/>
      <c r="BO791" s="493"/>
      <c r="BP791" s="493"/>
      <c r="BQ791" s="493"/>
      <c r="BR791" s="493"/>
      <c r="BS791" s="493"/>
      <c r="BT791" s="493"/>
      <c r="BU791" s="493"/>
      <c r="BV791" s="493"/>
      <c r="BW791" s="493"/>
      <c r="BX791" s="493"/>
      <c r="BY791" s="493"/>
      <c r="BZ791" s="493"/>
      <c r="CA791" s="493"/>
      <c r="CB791" s="493"/>
      <c r="CC791" s="493"/>
      <c r="CD791" s="493"/>
      <c r="CE791" s="493"/>
      <c r="CF791" s="493"/>
      <c r="CG791" s="493"/>
      <c r="CH791" s="493"/>
      <c r="CI791" s="493"/>
      <c r="CJ791" s="493"/>
      <c r="CK791" s="493"/>
      <c r="CL791" s="493"/>
      <c r="CM791" s="493"/>
      <c r="CN791" s="493"/>
      <c r="CO791" s="493"/>
      <c r="CP791" s="493"/>
      <c r="CQ791" s="493"/>
      <c r="CR791" s="493"/>
      <c r="CS791" s="493"/>
      <c r="CT791" s="493"/>
      <c r="CU791" s="493"/>
      <c r="CV791" s="493"/>
      <c r="CW791" s="493"/>
      <c r="CX791" s="493"/>
      <c r="CY791" s="493"/>
      <c r="CZ791" s="493"/>
      <c r="DA791" s="493"/>
      <c r="DB791" s="493"/>
      <c r="DC791" s="493"/>
      <c r="DD791" s="493"/>
      <c r="DE791" s="493"/>
      <c r="DF791" s="493"/>
      <c r="DG791" s="493"/>
      <c r="DH791" s="493"/>
      <c r="DI791" s="493"/>
      <c r="DJ791" s="493"/>
      <c r="DK791" s="493"/>
      <c r="DL791" s="493"/>
      <c r="DM791" s="493"/>
      <c r="DN791" s="493"/>
      <c r="DO791" s="493"/>
      <c r="DP791" s="493"/>
      <c r="DQ791" s="493"/>
      <c r="DR791" s="493"/>
      <c r="DS791" s="493"/>
      <c r="DT791" s="493"/>
      <c r="DU791" s="493"/>
      <c r="DV791" s="493"/>
      <c r="DW791" s="493"/>
      <c r="DX791" s="493"/>
      <c r="DY791" s="493"/>
      <c r="DZ791" s="493"/>
    </row>
    <row r="792" spans="1:130" hidden="1" outlineLevel="2">
      <c r="A792" s="438"/>
      <c r="B792" s="490" t="s">
        <v>300</v>
      </c>
      <c r="C792" s="398" t="s">
        <v>559</v>
      </c>
      <c r="D792" s="399" t="s">
        <v>391</v>
      </c>
      <c r="E792" s="385"/>
      <c r="F792" s="396"/>
      <c r="G792" s="385"/>
      <c r="H792" s="385" t="s">
        <v>577</v>
      </c>
      <c r="I792" s="385" t="s">
        <v>189</v>
      </c>
      <c r="J792" s="489" t="s">
        <v>366</v>
      </c>
      <c r="K792" s="412"/>
      <c r="L792" s="412"/>
      <c r="M792" s="490" t="s">
        <v>37</v>
      </c>
      <c r="N792" s="490">
        <v>1</v>
      </c>
    </row>
    <row r="793" spans="1:130" s="405" customFormat="1" ht="60.75" outlineLevel="1" collapsed="1">
      <c r="A793" s="489" t="s">
        <v>1396</v>
      </c>
      <c r="B793" s="490" t="s">
        <v>300</v>
      </c>
      <c r="C793" s="398" t="s">
        <v>559</v>
      </c>
      <c r="D793" s="399" t="s">
        <v>391</v>
      </c>
      <c r="E793" s="385" t="s">
        <v>720</v>
      </c>
      <c r="F793" s="385" t="s">
        <v>810</v>
      </c>
      <c r="G793" s="385"/>
      <c r="H793" s="401" t="s">
        <v>719</v>
      </c>
      <c r="I793" s="385" t="str">
        <f>CONCATENATE(I794," ","(",H794,")","-",N794," ",M794," ",I795," ","(",H795,")","-",N795," ",M795)</f>
        <v>Ремонт трансформаторов 35 кВ (1Т типа ТДН-35/6 кВ, 2Т типа ТДНС-35/6 кВ )-2 шт. Ремонт выключателей 6-10 кВ (В 6 яч.14,23  )-2 шт.</v>
      </c>
      <c r="J793" s="489" t="s">
        <v>366</v>
      </c>
      <c r="K793" s="450">
        <v>44409</v>
      </c>
      <c r="L793" s="450">
        <v>44439</v>
      </c>
      <c r="M793" s="490"/>
      <c r="N793" s="490"/>
      <c r="O793" s="493"/>
      <c r="P793" s="493"/>
      <c r="Q793" s="493"/>
      <c r="R793" s="493"/>
      <c r="S793" s="493"/>
      <c r="T793" s="493"/>
      <c r="U793" s="493"/>
      <c r="V793" s="493"/>
      <c r="W793" s="493"/>
      <c r="X793" s="493"/>
      <c r="Y793" s="493"/>
      <c r="Z793" s="493"/>
      <c r="AA793" s="493"/>
      <c r="AB793" s="493"/>
      <c r="AC793" s="493"/>
      <c r="AD793" s="493"/>
      <c r="AE793" s="493"/>
      <c r="AF793" s="493"/>
      <c r="AG793" s="493"/>
      <c r="AH793" s="493"/>
      <c r="AI793" s="493"/>
      <c r="AJ793" s="493"/>
      <c r="AK793" s="493"/>
      <c r="AL793" s="493"/>
      <c r="AM793" s="493"/>
      <c r="AN793" s="493"/>
      <c r="AO793" s="493"/>
      <c r="AP793" s="493"/>
      <c r="AQ793" s="493"/>
      <c r="AR793" s="493"/>
      <c r="AS793" s="493"/>
      <c r="AT793" s="493"/>
      <c r="AU793" s="493"/>
      <c r="AV793" s="493"/>
      <c r="AW793" s="493"/>
      <c r="AX793" s="493"/>
      <c r="AY793" s="493"/>
      <c r="AZ793" s="493"/>
      <c r="BA793" s="493"/>
      <c r="BB793" s="493"/>
      <c r="BC793" s="493"/>
      <c r="BD793" s="493"/>
      <c r="BE793" s="493"/>
      <c r="BF793" s="493"/>
      <c r="BG793" s="493"/>
      <c r="BH793" s="493"/>
      <c r="BI793" s="493"/>
      <c r="BJ793" s="493"/>
      <c r="BK793" s="493"/>
      <c r="BL793" s="493"/>
      <c r="BM793" s="493"/>
      <c r="BN793" s="493"/>
      <c r="BO793" s="493"/>
      <c r="BP793" s="493"/>
      <c r="BQ793" s="493"/>
      <c r="BR793" s="493"/>
      <c r="BS793" s="493"/>
      <c r="BT793" s="493"/>
      <c r="BU793" s="493"/>
      <c r="BV793" s="493"/>
      <c r="BW793" s="493"/>
      <c r="BX793" s="493"/>
      <c r="BY793" s="493"/>
      <c r="BZ793" s="493"/>
      <c r="CA793" s="493"/>
      <c r="CB793" s="493"/>
      <c r="CC793" s="493"/>
      <c r="CD793" s="493"/>
      <c r="CE793" s="493"/>
      <c r="CF793" s="493"/>
      <c r="CG793" s="493"/>
      <c r="CH793" s="493"/>
      <c r="CI793" s="493"/>
      <c r="CJ793" s="493"/>
      <c r="CK793" s="493"/>
      <c r="CL793" s="493"/>
      <c r="CM793" s="493"/>
      <c r="CN793" s="493"/>
      <c r="CO793" s="493"/>
      <c r="CP793" s="493"/>
      <c r="CQ793" s="493"/>
      <c r="CR793" s="493"/>
      <c r="CS793" s="493"/>
      <c r="CT793" s="493"/>
      <c r="CU793" s="493"/>
      <c r="CV793" s="493"/>
      <c r="CW793" s="493"/>
      <c r="CX793" s="493"/>
      <c r="CY793" s="493"/>
      <c r="CZ793" s="493"/>
      <c r="DA793" s="493"/>
      <c r="DB793" s="493"/>
      <c r="DC793" s="493"/>
      <c r="DD793" s="493"/>
      <c r="DE793" s="493"/>
      <c r="DF793" s="493"/>
      <c r="DG793" s="493"/>
      <c r="DH793" s="493"/>
      <c r="DI793" s="493"/>
      <c r="DJ793" s="493"/>
      <c r="DK793" s="493"/>
      <c r="DL793" s="493"/>
      <c r="DM793" s="493"/>
      <c r="DN793" s="493"/>
      <c r="DO793" s="493"/>
      <c r="DP793" s="493"/>
      <c r="DQ793" s="493"/>
      <c r="DR793" s="493"/>
      <c r="DS793" s="493"/>
      <c r="DT793" s="493"/>
      <c r="DU793" s="493"/>
      <c r="DV793" s="493"/>
      <c r="DW793" s="493"/>
      <c r="DX793" s="493"/>
      <c r="DY793" s="493"/>
      <c r="DZ793" s="493"/>
    </row>
    <row r="794" spans="1:130" ht="40.5" hidden="1" outlineLevel="2">
      <c r="A794" s="438"/>
      <c r="B794" s="490" t="s">
        <v>300</v>
      </c>
      <c r="C794" s="398" t="s">
        <v>559</v>
      </c>
      <c r="D794" s="399" t="s">
        <v>391</v>
      </c>
      <c r="E794" s="385"/>
      <c r="F794" s="385"/>
      <c r="G794" s="385"/>
      <c r="H794" s="385" t="s">
        <v>721</v>
      </c>
      <c r="I794" s="385" t="s">
        <v>160</v>
      </c>
      <c r="J794" s="489" t="s">
        <v>366</v>
      </c>
      <c r="K794" s="412"/>
      <c r="L794" s="412"/>
      <c r="M794" s="490" t="s">
        <v>37</v>
      </c>
      <c r="N794" s="490">
        <v>2</v>
      </c>
    </row>
    <row r="795" spans="1:130" hidden="1" outlineLevel="2">
      <c r="A795" s="438"/>
      <c r="B795" s="490" t="s">
        <v>300</v>
      </c>
      <c r="C795" s="398" t="s">
        <v>559</v>
      </c>
      <c r="D795" s="399" t="s">
        <v>391</v>
      </c>
      <c r="E795" s="385"/>
      <c r="F795" s="385"/>
      <c r="G795" s="385"/>
      <c r="H795" s="385" t="s">
        <v>722</v>
      </c>
      <c r="I795" s="385" t="s">
        <v>191</v>
      </c>
      <c r="J795" s="489" t="s">
        <v>366</v>
      </c>
      <c r="K795" s="412"/>
      <c r="L795" s="412"/>
      <c r="M795" s="490" t="s">
        <v>37</v>
      </c>
      <c r="N795" s="490">
        <v>2</v>
      </c>
    </row>
    <row r="796" spans="1:130" s="405" customFormat="1" ht="101.25" outlineLevel="1" collapsed="1">
      <c r="A796" s="489" t="s">
        <v>1397</v>
      </c>
      <c r="B796" s="490" t="s">
        <v>300</v>
      </c>
      <c r="C796" s="398" t="s">
        <v>559</v>
      </c>
      <c r="D796" s="399" t="s">
        <v>391</v>
      </c>
      <c r="E796" s="385" t="s">
        <v>717</v>
      </c>
      <c r="F796" s="385" t="s">
        <v>810</v>
      </c>
      <c r="G796" s="385"/>
      <c r="H796" s="401" t="s">
        <v>714</v>
      </c>
      <c r="I796" s="385" t="str">
        <f>CONCATENATE(I797," ","(",H797,")","-",N797," ",M797," ",I798," ","(",H798,")","-",N798," ",M798," ",I799," ","(",H799,")","-",N799," ",M799)</f>
        <v>Ремонт трансформаторов 35 кВ (1Т типа ТДНС-35/6 кВ, 2Т типа ТДН-35/6 кВ )-2 шт. Ремонт выключателей 35 кВ (В 35 1Т,2Т,3Т,Т-1,Т-2,Т-24,ШСВ 35)-7 шт. Ремонт трансформатора напряжения 35 кВ (НАМИ 35 1ТН 35,2ТН 35)-2 шт.</v>
      </c>
      <c r="J796" s="489" t="s">
        <v>366</v>
      </c>
      <c r="K796" s="450">
        <v>44440</v>
      </c>
      <c r="L796" s="450">
        <v>44469</v>
      </c>
      <c r="M796" s="490"/>
      <c r="N796" s="490"/>
      <c r="O796" s="493"/>
      <c r="P796" s="493"/>
      <c r="Q796" s="493"/>
      <c r="R796" s="493"/>
      <c r="S796" s="493"/>
      <c r="T796" s="493"/>
      <c r="U796" s="493"/>
      <c r="V796" s="493"/>
      <c r="W796" s="493"/>
      <c r="X796" s="493"/>
      <c r="Y796" s="493"/>
      <c r="Z796" s="493"/>
      <c r="AA796" s="493"/>
      <c r="AB796" s="493"/>
      <c r="AC796" s="493"/>
      <c r="AD796" s="493"/>
      <c r="AE796" s="493"/>
      <c r="AF796" s="493"/>
      <c r="AG796" s="493"/>
      <c r="AH796" s="493"/>
      <c r="AI796" s="493"/>
      <c r="AJ796" s="493"/>
      <c r="AK796" s="493"/>
      <c r="AL796" s="493"/>
      <c r="AM796" s="493"/>
      <c r="AN796" s="493"/>
      <c r="AO796" s="493"/>
      <c r="AP796" s="493"/>
      <c r="AQ796" s="493"/>
      <c r="AR796" s="493"/>
      <c r="AS796" s="493"/>
      <c r="AT796" s="493"/>
      <c r="AU796" s="493"/>
      <c r="AV796" s="493"/>
      <c r="AW796" s="493"/>
      <c r="AX796" s="493"/>
      <c r="AY796" s="493"/>
      <c r="AZ796" s="493"/>
      <c r="BA796" s="493"/>
      <c r="BB796" s="493"/>
      <c r="BC796" s="493"/>
      <c r="BD796" s="493"/>
      <c r="BE796" s="493"/>
      <c r="BF796" s="493"/>
      <c r="BG796" s="493"/>
      <c r="BH796" s="493"/>
      <c r="BI796" s="493"/>
      <c r="BJ796" s="493"/>
      <c r="BK796" s="493"/>
      <c r="BL796" s="493"/>
      <c r="BM796" s="493"/>
      <c r="BN796" s="493"/>
      <c r="BO796" s="493"/>
      <c r="BP796" s="493"/>
      <c r="BQ796" s="493"/>
      <c r="BR796" s="493"/>
      <c r="BS796" s="493"/>
      <c r="BT796" s="493"/>
      <c r="BU796" s="493"/>
      <c r="BV796" s="493"/>
      <c r="BW796" s="493"/>
      <c r="BX796" s="493"/>
      <c r="BY796" s="493"/>
      <c r="BZ796" s="493"/>
      <c r="CA796" s="493"/>
      <c r="CB796" s="493"/>
      <c r="CC796" s="493"/>
      <c r="CD796" s="493"/>
      <c r="CE796" s="493"/>
      <c r="CF796" s="493"/>
      <c r="CG796" s="493"/>
      <c r="CH796" s="493"/>
      <c r="CI796" s="493"/>
      <c r="CJ796" s="493"/>
      <c r="CK796" s="493"/>
      <c r="CL796" s="493"/>
      <c r="CM796" s="493"/>
      <c r="CN796" s="493"/>
      <c r="CO796" s="493"/>
      <c r="CP796" s="493"/>
      <c r="CQ796" s="493"/>
      <c r="CR796" s="493"/>
      <c r="CS796" s="493"/>
      <c r="CT796" s="493"/>
      <c r="CU796" s="493"/>
      <c r="CV796" s="493"/>
      <c r="CW796" s="493"/>
      <c r="CX796" s="493"/>
      <c r="CY796" s="493"/>
      <c r="CZ796" s="493"/>
      <c r="DA796" s="493"/>
      <c r="DB796" s="493"/>
      <c r="DC796" s="493"/>
      <c r="DD796" s="493"/>
      <c r="DE796" s="493"/>
      <c r="DF796" s="493"/>
      <c r="DG796" s="493"/>
      <c r="DH796" s="493"/>
      <c r="DI796" s="493"/>
      <c r="DJ796" s="493"/>
      <c r="DK796" s="493"/>
      <c r="DL796" s="493"/>
      <c r="DM796" s="493"/>
      <c r="DN796" s="493"/>
      <c r="DO796" s="493"/>
      <c r="DP796" s="493"/>
      <c r="DQ796" s="493"/>
      <c r="DR796" s="493"/>
      <c r="DS796" s="493"/>
      <c r="DT796" s="493"/>
      <c r="DU796" s="493"/>
      <c r="DV796" s="493"/>
      <c r="DW796" s="493"/>
      <c r="DX796" s="493"/>
      <c r="DY796" s="493"/>
      <c r="DZ796" s="493"/>
    </row>
    <row r="797" spans="1:130" ht="40.5" hidden="1" outlineLevel="2">
      <c r="A797" s="438"/>
      <c r="B797" s="490" t="s">
        <v>300</v>
      </c>
      <c r="C797" s="398" t="s">
        <v>559</v>
      </c>
      <c r="D797" s="399" t="s">
        <v>391</v>
      </c>
      <c r="E797" s="385"/>
      <c r="F797" s="385"/>
      <c r="G797" s="385"/>
      <c r="H797" s="385" t="s">
        <v>718</v>
      </c>
      <c r="I797" s="385" t="s">
        <v>160</v>
      </c>
      <c r="J797" s="489" t="s">
        <v>366</v>
      </c>
      <c r="K797" s="412"/>
      <c r="L797" s="412"/>
      <c r="M797" s="490" t="s">
        <v>37</v>
      </c>
      <c r="N797" s="490">
        <v>2</v>
      </c>
    </row>
    <row r="798" spans="1:130" hidden="1" outlineLevel="2">
      <c r="A798" s="438"/>
      <c r="B798" s="490" t="s">
        <v>300</v>
      </c>
      <c r="C798" s="398" t="s">
        <v>559</v>
      </c>
      <c r="D798" s="399" t="s">
        <v>391</v>
      </c>
      <c r="E798" s="385"/>
      <c r="F798" s="385"/>
      <c r="G798" s="385"/>
      <c r="H798" s="385" t="s">
        <v>715</v>
      </c>
      <c r="I798" s="385" t="s">
        <v>189</v>
      </c>
      <c r="J798" s="489" t="s">
        <v>366</v>
      </c>
      <c r="K798" s="412"/>
      <c r="L798" s="412"/>
      <c r="M798" s="490" t="s">
        <v>37</v>
      </c>
      <c r="N798" s="490">
        <v>7</v>
      </c>
    </row>
    <row r="799" spans="1:130" hidden="1" outlineLevel="2">
      <c r="A799" s="450"/>
      <c r="B799" s="490" t="s">
        <v>300</v>
      </c>
      <c r="C799" s="398" t="s">
        <v>559</v>
      </c>
      <c r="D799" s="399" t="s">
        <v>391</v>
      </c>
      <c r="E799" s="385"/>
      <c r="F799" s="385"/>
      <c r="G799" s="385"/>
      <c r="H799" s="385" t="s">
        <v>716</v>
      </c>
      <c r="I799" s="385" t="s">
        <v>535</v>
      </c>
      <c r="J799" s="489" t="s">
        <v>366</v>
      </c>
      <c r="K799" s="412"/>
      <c r="L799" s="412"/>
      <c r="M799" s="490" t="s">
        <v>37</v>
      </c>
      <c r="N799" s="490">
        <v>2</v>
      </c>
    </row>
    <row r="800" spans="1:130" s="405" customFormat="1" ht="40.9" customHeight="1" outlineLevel="1" collapsed="1">
      <c r="A800" s="489" t="s">
        <v>1398</v>
      </c>
      <c r="B800" s="490" t="s">
        <v>300</v>
      </c>
      <c r="C800" s="398" t="s">
        <v>559</v>
      </c>
      <c r="D800" s="399" t="s">
        <v>391</v>
      </c>
      <c r="E800" s="490" t="s">
        <v>730</v>
      </c>
      <c r="F800" s="385" t="s">
        <v>810</v>
      </c>
      <c r="G800" s="385"/>
      <c r="H800" s="401" t="s">
        <v>731</v>
      </c>
      <c r="I800" s="385" t="str">
        <f>CONCATENATE(I801," ","(",H801,")","-",N801," ",M801)</f>
        <v>Ремонт трансформаторов 35 кВ (1Т, 2Т )-2 шт.</v>
      </c>
      <c r="J800" s="489" t="s">
        <v>366</v>
      </c>
      <c r="K800" s="450">
        <v>44378</v>
      </c>
      <c r="L800" s="450">
        <v>44408</v>
      </c>
      <c r="M800" s="490"/>
      <c r="N800" s="490"/>
      <c r="O800" s="493"/>
      <c r="P800" s="493"/>
      <c r="Q800" s="493"/>
      <c r="R800" s="493"/>
      <c r="S800" s="493"/>
      <c r="T800" s="493"/>
      <c r="U800" s="493"/>
      <c r="V800" s="493"/>
      <c r="W800" s="493"/>
      <c r="X800" s="493"/>
      <c r="Y800" s="493"/>
      <c r="Z800" s="493"/>
      <c r="AA800" s="493"/>
      <c r="AB800" s="493"/>
      <c r="AC800" s="493"/>
      <c r="AD800" s="493"/>
      <c r="AE800" s="493"/>
      <c r="AF800" s="493"/>
      <c r="AG800" s="493"/>
      <c r="AH800" s="493"/>
      <c r="AI800" s="493"/>
      <c r="AJ800" s="493"/>
      <c r="AK800" s="493"/>
      <c r="AL800" s="493"/>
      <c r="AM800" s="493"/>
      <c r="AN800" s="493"/>
      <c r="AO800" s="493"/>
      <c r="AP800" s="493"/>
      <c r="AQ800" s="493"/>
      <c r="AR800" s="493"/>
      <c r="AS800" s="493"/>
      <c r="AT800" s="493"/>
      <c r="AU800" s="493"/>
      <c r="AV800" s="493"/>
      <c r="AW800" s="493"/>
      <c r="AX800" s="493"/>
      <c r="AY800" s="493"/>
      <c r="AZ800" s="493"/>
      <c r="BA800" s="493"/>
      <c r="BB800" s="493"/>
      <c r="BC800" s="493"/>
      <c r="BD800" s="493"/>
      <c r="BE800" s="493"/>
      <c r="BF800" s="493"/>
      <c r="BG800" s="493"/>
      <c r="BH800" s="493"/>
      <c r="BI800" s="493"/>
      <c r="BJ800" s="493"/>
      <c r="BK800" s="493"/>
      <c r="BL800" s="493"/>
      <c r="BM800" s="493"/>
      <c r="BN800" s="493"/>
      <c r="BO800" s="493"/>
      <c r="BP800" s="493"/>
      <c r="BQ800" s="493"/>
      <c r="BR800" s="493"/>
      <c r="BS800" s="493"/>
      <c r="BT800" s="493"/>
      <c r="BU800" s="493"/>
      <c r="BV800" s="493"/>
      <c r="BW800" s="493"/>
      <c r="BX800" s="493"/>
      <c r="BY800" s="493"/>
      <c r="BZ800" s="493"/>
      <c r="CA800" s="493"/>
      <c r="CB800" s="493"/>
      <c r="CC800" s="493"/>
      <c r="CD800" s="493"/>
      <c r="CE800" s="493"/>
      <c r="CF800" s="493"/>
      <c r="CG800" s="493"/>
      <c r="CH800" s="493"/>
      <c r="CI800" s="493"/>
      <c r="CJ800" s="493"/>
      <c r="CK800" s="493"/>
      <c r="CL800" s="493"/>
      <c r="CM800" s="493"/>
      <c r="CN800" s="493"/>
      <c r="CO800" s="493"/>
      <c r="CP800" s="493"/>
      <c r="CQ800" s="493"/>
      <c r="CR800" s="493"/>
      <c r="CS800" s="493"/>
      <c r="CT800" s="493"/>
      <c r="CU800" s="493"/>
      <c r="CV800" s="493"/>
      <c r="CW800" s="493"/>
      <c r="CX800" s="493"/>
      <c r="CY800" s="493"/>
      <c r="CZ800" s="493"/>
      <c r="DA800" s="493"/>
      <c r="DB800" s="493"/>
      <c r="DC800" s="493"/>
      <c r="DD800" s="493"/>
      <c r="DE800" s="493"/>
      <c r="DF800" s="493"/>
      <c r="DG800" s="493"/>
      <c r="DH800" s="493"/>
      <c r="DI800" s="493"/>
      <c r="DJ800" s="493"/>
      <c r="DK800" s="493"/>
      <c r="DL800" s="493"/>
      <c r="DM800" s="493"/>
      <c r="DN800" s="493"/>
      <c r="DO800" s="493"/>
      <c r="DP800" s="493"/>
      <c r="DQ800" s="493"/>
      <c r="DR800" s="493"/>
      <c r="DS800" s="493"/>
      <c r="DT800" s="493"/>
      <c r="DU800" s="493"/>
      <c r="DV800" s="493"/>
      <c r="DW800" s="493"/>
      <c r="DX800" s="493"/>
      <c r="DY800" s="493"/>
      <c r="DZ800" s="493"/>
    </row>
    <row r="801" spans="1:130" hidden="1" outlineLevel="2">
      <c r="A801" s="438"/>
      <c r="B801" s="490" t="s">
        <v>300</v>
      </c>
      <c r="C801" s="398" t="s">
        <v>559</v>
      </c>
      <c r="D801" s="399" t="s">
        <v>391</v>
      </c>
      <c r="E801" s="385"/>
      <c r="F801" s="396"/>
      <c r="G801" s="385"/>
      <c r="H801" s="385" t="s">
        <v>732</v>
      </c>
      <c r="I801" s="385" t="s">
        <v>160</v>
      </c>
      <c r="J801" s="489" t="s">
        <v>366</v>
      </c>
      <c r="K801" s="412"/>
      <c r="L801" s="412"/>
      <c r="M801" s="490" t="s">
        <v>37</v>
      </c>
      <c r="N801" s="490">
        <v>2</v>
      </c>
    </row>
    <row r="802" spans="1:130" s="405" customFormat="1" ht="141.75" outlineLevel="1" collapsed="1">
      <c r="A802" s="489" t="s">
        <v>1399</v>
      </c>
      <c r="B802" s="490" t="s">
        <v>300</v>
      </c>
      <c r="C802" s="398" t="s">
        <v>607</v>
      </c>
      <c r="D802" s="399" t="s">
        <v>391</v>
      </c>
      <c r="E802" s="385" t="s">
        <v>610</v>
      </c>
      <c r="F802" s="385" t="s">
        <v>810</v>
      </c>
      <c r="G802" s="385"/>
      <c r="H802" s="401" t="s">
        <v>608</v>
      </c>
      <c r="I802" s="385" t="str">
        <f>CONCATENATE(I803," ","(",H803,")","-",N803," ",M803," ",I804," ","(",H804,")","-",N804," ",M804," ",I805," ","(",H805,")","-",N805," ",M805," ",I806," ","(",H806,")","-",N806," ",M806)</f>
        <v>Ремонт трансформаторов 35 кВ (ТМ-4000/35  зав. №237)-1 шт. Ремонт трансформаторов СН (1 ТСН зав.№ 18139
2 ТСН зав.№ 9917)-2 шт. Ремонт ОПН, разрядников 35 кВ (ОПН-35 1Т, 2Т)-6 шт. Ремонт разъединителя 35 кВ (ШР 35 1Т, ШР 35 2Т, ЛР 35 Т-53, ЛР 35 Т-27, СР 35 1с, СР 35 2с)-6 шт.</v>
      </c>
      <c r="J802" s="489" t="s">
        <v>366</v>
      </c>
      <c r="K802" s="450">
        <v>44256</v>
      </c>
      <c r="L802" s="450">
        <v>44377</v>
      </c>
      <c r="M802" s="490"/>
      <c r="N802" s="490"/>
      <c r="O802" s="493"/>
      <c r="P802" s="493"/>
      <c r="Q802" s="493"/>
      <c r="R802" s="493"/>
      <c r="S802" s="493"/>
      <c r="T802" s="493"/>
      <c r="U802" s="493"/>
      <c r="V802" s="493"/>
      <c r="W802" s="493"/>
      <c r="X802" s="493"/>
      <c r="Y802" s="493"/>
      <c r="Z802" s="493"/>
      <c r="AA802" s="493"/>
      <c r="AB802" s="493"/>
      <c r="AC802" s="493"/>
      <c r="AD802" s="493"/>
      <c r="AE802" s="493"/>
      <c r="AF802" s="493"/>
      <c r="AG802" s="493"/>
      <c r="AH802" s="493"/>
      <c r="AI802" s="493"/>
      <c r="AJ802" s="493"/>
      <c r="AK802" s="493"/>
      <c r="AL802" s="493"/>
      <c r="AM802" s="493"/>
      <c r="AN802" s="493"/>
      <c r="AO802" s="493"/>
      <c r="AP802" s="493"/>
      <c r="AQ802" s="493"/>
      <c r="AR802" s="493"/>
      <c r="AS802" s="493"/>
      <c r="AT802" s="493"/>
      <c r="AU802" s="493"/>
      <c r="AV802" s="493"/>
      <c r="AW802" s="493"/>
      <c r="AX802" s="493"/>
      <c r="AY802" s="493"/>
      <c r="AZ802" s="493"/>
      <c r="BA802" s="493"/>
      <c r="BB802" s="493"/>
      <c r="BC802" s="493"/>
      <c r="BD802" s="493"/>
      <c r="BE802" s="493"/>
      <c r="BF802" s="493"/>
      <c r="BG802" s="493"/>
      <c r="BH802" s="493"/>
      <c r="BI802" s="493"/>
      <c r="BJ802" s="493"/>
      <c r="BK802" s="493"/>
      <c r="BL802" s="493"/>
      <c r="BM802" s="493"/>
      <c r="BN802" s="493"/>
      <c r="BO802" s="493"/>
      <c r="BP802" s="493"/>
      <c r="BQ802" s="493"/>
      <c r="BR802" s="493"/>
      <c r="BS802" s="493"/>
      <c r="BT802" s="493"/>
      <c r="BU802" s="493"/>
      <c r="BV802" s="493"/>
      <c r="BW802" s="493"/>
      <c r="BX802" s="493"/>
      <c r="BY802" s="493"/>
      <c r="BZ802" s="493"/>
      <c r="CA802" s="493"/>
      <c r="CB802" s="493"/>
      <c r="CC802" s="493"/>
      <c r="CD802" s="493"/>
      <c r="CE802" s="493"/>
      <c r="CF802" s="493"/>
      <c r="CG802" s="493"/>
      <c r="CH802" s="493"/>
      <c r="CI802" s="493"/>
      <c r="CJ802" s="493"/>
      <c r="CK802" s="493"/>
      <c r="CL802" s="493"/>
      <c r="CM802" s="493"/>
      <c r="CN802" s="493"/>
      <c r="CO802" s="493"/>
      <c r="CP802" s="493"/>
      <c r="CQ802" s="493"/>
      <c r="CR802" s="493"/>
      <c r="CS802" s="493"/>
      <c r="CT802" s="493"/>
      <c r="CU802" s="493"/>
      <c r="CV802" s="493"/>
      <c r="CW802" s="493"/>
      <c r="CX802" s="493"/>
      <c r="CY802" s="493"/>
      <c r="CZ802" s="493"/>
      <c r="DA802" s="493"/>
      <c r="DB802" s="493"/>
      <c r="DC802" s="493"/>
      <c r="DD802" s="493"/>
      <c r="DE802" s="493"/>
      <c r="DF802" s="493"/>
      <c r="DG802" s="493"/>
      <c r="DH802" s="493"/>
      <c r="DI802" s="493"/>
      <c r="DJ802" s="493"/>
      <c r="DK802" s="493"/>
      <c r="DL802" s="493"/>
      <c r="DM802" s="493"/>
      <c r="DN802" s="493"/>
      <c r="DO802" s="493"/>
      <c r="DP802" s="493"/>
      <c r="DQ802" s="493"/>
      <c r="DR802" s="493"/>
      <c r="DS802" s="493"/>
      <c r="DT802" s="493"/>
      <c r="DU802" s="493"/>
      <c r="DV802" s="493"/>
      <c r="DW802" s="493"/>
      <c r="DX802" s="493"/>
      <c r="DY802" s="493"/>
      <c r="DZ802" s="493"/>
    </row>
    <row r="803" spans="1:130" hidden="1" outlineLevel="2">
      <c r="A803" s="438"/>
      <c r="B803" s="490" t="s">
        <v>300</v>
      </c>
      <c r="C803" s="398" t="s">
        <v>607</v>
      </c>
      <c r="D803" s="399" t="s">
        <v>391</v>
      </c>
      <c r="E803" s="385"/>
      <c r="F803" s="385"/>
      <c r="G803" s="385"/>
      <c r="H803" s="385" t="s">
        <v>609</v>
      </c>
      <c r="I803" s="385" t="s">
        <v>160</v>
      </c>
      <c r="J803" s="489" t="s">
        <v>366</v>
      </c>
      <c r="K803" s="412"/>
      <c r="L803" s="412"/>
      <c r="M803" s="490" t="s">
        <v>37</v>
      </c>
      <c r="N803" s="490">
        <v>1</v>
      </c>
    </row>
    <row r="804" spans="1:130" ht="40.5" hidden="1" outlineLevel="2">
      <c r="A804" s="438"/>
      <c r="B804" s="490" t="s">
        <v>300</v>
      </c>
      <c r="C804" s="398" t="s">
        <v>607</v>
      </c>
      <c r="D804" s="399" t="s">
        <v>391</v>
      </c>
      <c r="E804" s="385"/>
      <c r="F804" s="385"/>
      <c r="G804" s="385"/>
      <c r="H804" s="385" t="s">
        <v>613</v>
      </c>
      <c r="I804" s="385" t="s">
        <v>163</v>
      </c>
      <c r="J804" s="489" t="s">
        <v>366</v>
      </c>
      <c r="K804" s="412"/>
      <c r="L804" s="412"/>
      <c r="M804" s="490" t="s">
        <v>37</v>
      </c>
      <c r="N804" s="490">
        <v>2</v>
      </c>
    </row>
    <row r="805" spans="1:130" hidden="1" outlineLevel="2">
      <c r="A805" s="450"/>
      <c r="B805" s="490" t="s">
        <v>300</v>
      </c>
      <c r="C805" s="398" t="s">
        <v>607</v>
      </c>
      <c r="D805" s="399" t="s">
        <v>391</v>
      </c>
      <c r="E805" s="385"/>
      <c r="F805" s="385"/>
      <c r="G805" s="385"/>
      <c r="H805" s="385" t="s">
        <v>612</v>
      </c>
      <c r="I805" s="385" t="s">
        <v>491</v>
      </c>
      <c r="J805" s="489" t="s">
        <v>366</v>
      </c>
      <c r="K805" s="412"/>
      <c r="L805" s="412"/>
      <c r="M805" s="490" t="s">
        <v>37</v>
      </c>
      <c r="N805" s="490">
        <v>6</v>
      </c>
    </row>
    <row r="806" spans="1:130" ht="40.5" hidden="1" outlineLevel="2">
      <c r="A806" s="438"/>
      <c r="B806" s="490" t="s">
        <v>300</v>
      </c>
      <c r="C806" s="398" t="s">
        <v>607</v>
      </c>
      <c r="D806" s="399" t="s">
        <v>391</v>
      </c>
      <c r="E806" s="385"/>
      <c r="F806" s="385"/>
      <c r="G806" s="385"/>
      <c r="H806" s="385" t="s">
        <v>611</v>
      </c>
      <c r="I806" s="385" t="s">
        <v>493</v>
      </c>
      <c r="J806" s="489" t="s">
        <v>366</v>
      </c>
      <c r="K806" s="412"/>
      <c r="L806" s="412"/>
      <c r="M806" s="490" t="s">
        <v>37</v>
      </c>
      <c r="N806" s="490">
        <v>6</v>
      </c>
    </row>
    <row r="807" spans="1:130" s="405" customFormat="1" ht="60.75" outlineLevel="1" collapsed="1">
      <c r="A807" s="489" t="s">
        <v>1400</v>
      </c>
      <c r="B807" s="490" t="s">
        <v>300</v>
      </c>
      <c r="C807" s="398" t="s">
        <v>607</v>
      </c>
      <c r="D807" s="399" t="s">
        <v>391</v>
      </c>
      <c r="E807" s="385" t="s">
        <v>617</v>
      </c>
      <c r="F807" s="385" t="s">
        <v>810</v>
      </c>
      <c r="G807" s="385"/>
      <c r="H807" s="401" t="s">
        <v>615</v>
      </c>
      <c r="I807" s="385" t="str">
        <f>CONCATENATE(I808," ","(",H808,")","-",N808," ",M808," ",I809," ","(",H809,")","-",N809," ",M809," ",I810," ","(",H810,")","-",N810," ",M810)</f>
        <v>Ремонт трансформаторов 35 кВ (1Т № 322)-1 шт. Ремонт трансформаторов СН  (1 ТСН зав.№ 1382)-1 шт. Ремонт ОПН, разрядников 35 кВ (ОПН-35 1Т)-3 шт.</v>
      </c>
      <c r="J807" s="489" t="s">
        <v>366</v>
      </c>
      <c r="K807" s="450">
        <v>44378</v>
      </c>
      <c r="L807" s="450">
        <v>44408</v>
      </c>
      <c r="M807" s="490"/>
      <c r="N807" s="490"/>
      <c r="O807" s="493"/>
      <c r="P807" s="493"/>
      <c r="Q807" s="493"/>
      <c r="R807" s="493"/>
      <c r="S807" s="493"/>
      <c r="T807" s="493"/>
      <c r="U807" s="493"/>
      <c r="V807" s="493"/>
      <c r="W807" s="493"/>
      <c r="X807" s="493"/>
      <c r="Y807" s="493"/>
      <c r="Z807" s="493"/>
      <c r="AA807" s="493"/>
      <c r="AB807" s="493"/>
      <c r="AC807" s="493"/>
      <c r="AD807" s="493"/>
      <c r="AE807" s="493"/>
      <c r="AF807" s="493"/>
      <c r="AG807" s="493"/>
      <c r="AH807" s="493"/>
      <c r="AI807" s="493"/>
      <c r="AJ807" s="493"/>
      <c r="AK807" s="493"/>
      <c r="AL807" s="493"/>
      <c r="AM807" s="493"/>
      <c r="AN807" s="493"/>
      <c r="AO807" s="493"/>
      <c r="AP807" s="493"/>
      <c r="AQ807" s="493"/>
      <c r="AR807" s="493"/>
      <c r="AS807" s="493"/>
      <c r="AT807" s="493"/>
      <c r="AU807" s="493"/>
      <c r="AV807" s="493"/>
      <c r="AW807" s="493"/>
      <c r="AX807" s="493"/>
      <c r="AY807" s="493"/>
      <c r="AZ807" s="493"/>
      <c r="BA807" s="493"/>
      <c r="BB807" s="493"/>
      <c r="BC807" s="493"/>
      <c r="BD807" s="493"/>
      <c r="BE807" s="493"/>
      <c r="BF807" s="493"/>
      <c r="BG807" s="493"/>
      <c r="BH807" s="493"/>
      <c r="BI807" s="493"/>
      <c r="BJ807" s="493"/>
      <c r="BK807" s="493"/>
      <c r="BL807" s="493"/>
      <c r="BM807" s="493"/>
      <c r="BN807" s="493"/>
      <c r="BO807" s="493"/>
      <c r="BP807" s="493"/>
      <c r="BQ807" s="493"/>
      <c r="BR807" s="493"/>
      <c r="BS807" s="493"/>
      <c r="BT807" s="493"/>
      <c r="BU807" s="493"/>
      <c r="BV807" s="493"/>
      <c r="BW807" s="493"/>
      <c r="BX807" s="493"/>
      <c r="BY807" s="493"/>
      <c r="BZ807" s="493"/>
      <c r="CA807" s="493"/>
      <c r="CB807" s="493"/>
      <c r="CC807" s="493"/>
      <c r="CD807" s="493"/>
      <c r="CE807" s="493"/>
      <c r="CF807" s="493"/>
      <c r="CG807" s="493"/>
      <c r="CH807" s="493"/>
      <c r="CI807" s="493"/>
      <c r="CJ807" s="493"/>
      <c r="CK807" s="493"/>
      <c r="CL807" s="493"/>
      <c r="CM807" s="493"/>
      <c r="CN807" s="493"/>
      <c r="CO807" s="493"/>
      <c r="CP807" s="493"/>
      <c r="CQ807" s="493"/>
      <c r="CR807" s="493"/>
      <c r="CS807" s="493"/>
      <c r="CT807" s="493"/>
      <c r="CU807" s="493"/>
      <c r="CV807" s="493"/>
      <c r="CW807" s="493"/>
      <c r="CX807" s="493"/>
      <c r="CY807" s="493"/>
      <c r="CZ807" s="493"/>
      <c r="DA807" s="493"/>
      <c r="DB807" s="493"/>
      <c r="DC807" s="493"/>
      <c r="DD807" s="493"/>
      <c r="DE807" s="493"/>
      <c r="DF807" s="493"/>
      <c r="DG807" s="493"/>
      <c r="DH807" s="493"/>
      <c r="DI807" s="493"/>
      <c r="DJ807" s="493"/>
      <c r="DK807" s="493"/>
      <c r="DL807" s="493"/>
      <c r="DM807" s="493"/>
      <c r="DN807" s="493"/>
      <c r="DO807" s="493"/>
      <c r="DP807" s="493"/>
      <c r="DQ807" s="493"/>
      <c r="DR807" s="493"/>
      <c r="DS807" s="493"/>
      <c r="DT807" s="493"/>
      <c r="DU807" s="493"/>
      <c r="DV807" s="493"/>
      <c r="DW807" s="493"/>
      <c r="DX807" s="493"/>
      <c r="DY807" s="493"/>
      <c r="DZ807" s="493"/>
    </row>
    <row r="808" spans="1:130" hidden="1" outlineLevel="2">
      <c r="A808" s="438"/>
      <c r="B808" s="490" t="s">
        <v>300</v>
      </c>
      <c r="C808" s="398" t="s">
        <v>607</v>
      </c>
      <c r="D808" s="399" t="s">
        <v>391</v>
      </c>
      <c r="E808" s="385"/>
      <c r="F808" s="385"/>
      <c r="G808" s="385"/>
      <c r="H808" s="385" t="s">
        <v>618</v>
      </c>
      <c r="I808" s="385" t="s">
        <v>160</v>
      </c>
      <c r="J808" s="489" t="s">
        <v>366</v>
      </c>
      <c r="K808" s="412"/>
      <c r="L808" s="412"/>
      <c r="M808" s="490" t="s">
        <v>37</v>
      </c>
      <c r="N808" s="490">
        <v>1</v>
      </c>
    </row>
    <row r="809" spans="1:130" hidden="1" outlineLevel="2">
      <c r="A809" s="438"/>
      <c r="B809" s="490" t="s">
        <v>300</v>
      </c>
      <c r="C809" s="398" t="s">
        <v>607</v>
      </c>
      <c r="D809" s="399" t="s">
        <v>391</v>
      </c>
      <c r="E809" s="385"/>
      <c r="F809" s="385"/>
      <c r="G809" s="385"/>
      <c r="H809" s="385" t="s">
        <v>620</v>
      </c>
      <c r="I809" s="385" t="s">
        <v>3373</v>
      </c>
      <c r="J809" s="489" t="s">
        <v>366</v>
      </c>
      <c r="K809" s="412"/>
      <c r="L809" s="412"/>
      <c r="M809" s="490" t="s">
        <v>37</v>
      </c>
      <c r="N809" s="490">
        <v>1</v>
      </c>
    </row>
    <row r="810" spans="1:130" hidden="1" outlineLevel="2">
      <c r="A810" s="450"/>
      <c r="B810" s="490" t="s">
        <v>300</v>
      </c>
      <c r="C810" s="398" t="s">
        <v>607</v>
      </c>
      <c r="D810" s="399" t="s">
        <v>391</v>
      </c>
      <c r="E810" s="385"/>
      <c r="F810" s="385"/>
      <c r="G810" s="385"/>
      <c r="H810" s="385" t="s">
        <v>621</v>
      </c>
      <c r="I810" s="385" t="s">
        <v>491</v>
      </c>
      <c r="J810" s="489" t="s">
        <v>366</v>
      </c>
      <c r="K810" s="412"/>
      <c r="L810" s="412"/>
      <c r="M810" s="490" t="s">
        <v>37</v>
      </c>
      <c r="N810" s="490">
        <v>3</v>
      </c>
    </row>
    <row r="811" spans="1:130" s="405" customFormat="1" ht="94.5" customHeight="1" outlineLevel="1" collapsed="1">
      <c r="A811" s="489" t="s">
        <v>1401</v>
      </c>
      <c r="B811" s="490" t="s">
        <v>300</v>
      </c>
      <c r="C811" s="398" t="s">
        <v>607</v>
      </c>
      <c r="D811" s="399" t="s">
        <v>391</v>
      </c>
      <c r="E811" s="385" t="s">
        <v>624</v>
      </c>
      <c r="F811" s="385" t="s">
        <v>810</v>
      </c>
      <c r="G811" s="385"/>
      <c r="H811" s="401" t="s">
        <v>622</v>
      </c>
      <c r="I811" s="385" t="str">
        <f>CONCATENATE(I812," ","(",H812,")","-",N812," ",M812," ",I813," ","(",H813,")","-",N813," ",M813," ",I814," ","(",H814,")","-",N814," ",M814," ",I815," ","(",H815,")","-",N815," ",M815)</f>
        <v>Ремонт трансформаторов 35 кВ (1Т № 3364, 2Т№ 846)-2 шт. Ремонт разъединителя 35 кВ (ШР 35 2Т )-1 шт. Ремонт ОПН, разрядников 35 кВ (ОПН 35 1Т, ОПН 35 2Т )-6 шт. Ремонт ОПН, разрядников 6-10 кВ (ОПН 10 1Т, ОПН 10 2Т)-6 шт.</v>
      </c>
      <c r="J811" s="489" t="s">
        <v>366</v>
      </c>
      <c r="K811" s="450">
        <v>44440</v>
      </c>
      <c r="L811" s="450">
        <v>44469</v>
      </c>
      <c r="M811" s="490"/>
      <c r="N811" s="490"/>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K811" s="493"/>
      <c r="AL811" s="493"/>
      <c r="AM811" s="493"/>
      <c r="AN811" s="493"/>
      <c r="AO811" s="493"/>
      <c r="AP811" s="493"/>
      <c r="AQ811" s="493"/>
      <c r="AR811" s="493"/>
      <c r="AS811" s="493"/>
      <c r="AT811" s="493"/>
      <c r="AU811" s="493"/>
      <c r="AV811" s="493"/>
      <c r="AW811" s="493"/>
      <c r="AX811" s="493"/>
      <c r="AY811" s="493"/>
      <c r="AZ811" s="493"/>
      <c r="BA811" s="493"/>
      <c r="BB811" s="493"/>
      <c r="BC811" s="493"/>
      <c r="BD811" s="493"/>
      <c r="BE811" s="493"/>
      <c r="BF811" s="493"/>
      <c r="BG811" s="493"/>
      <c r="BH811" s="493"/>
      <c r="BI811" s="493"/>
      <c r="BJ811" s="493"/>
      <c r="BK811" s="493"/>
      <c r="BL811" s="493"/>
      <c r="BM811" s="493"/>
      <c r="BN811" s="493"/>
      <c r="BO811" s="493"/>
      <c r="BP811" s="493"/>
      <c r="BQ811" s="493"/>
      <c r="BR811" s="493"/>
      <c r="BS811" s="493"/>
      <c r="BT811" s="493"/>
      <c r="BU811" s="493"/>
      <c r="BV811" s="493"/>
      <c r="BW811" s="493"/>
      <c r="BX811" s="493"/>
      <c r="BY811" s="493"/>
      <c r="BZ811" s="493"/>
      <c r="CA811" s="493"/>
      <c r="CB811" s="493"/>
      <c r="CC811" s="493"/>
      <c r="CD811" s="493"/>
      <c r="CE811" s="493"/>
      <c r="CF811" s="493"/>
      <c r="CG811" s="493"/>
      <c r="CH811" s="493"/>
      <c r="CI811" s="493"/>
      <c r="CJ811" s="493"/>
      <c r="CK811" s="493"/>
      <c r="CL811" s="493"/>
      <c r="CM811" s="493"/>
      <c r="CN811" s="493"/>
      <c r="CO811" s="493"/>
      <c r="CP811" s="493"/>
      <c r="CQ811" s="493"/>
      <c r="CR811" s="493"/>
      <c r="CS811" s="493"/>
      <c r="CT811" s="493"/>
      <c r="CU811" s="493"/>
      <c r="CV811" s="493"/>
      <c r="CW811" s="493"/>
      <c r="CX811" s="493"/>
      <c r="CY811" s="493"/>
      <c r="CZ811" s="493"/>
      <c r="DA811" s="493"/>
      <c r="DB811" s="493"/>
      <c r="DC811" s="493"/>
      <c r="DD811" s="493"/>
      <c r="DE811" s="493"/>
      <c r="DF811" s="493"/>
      <c r="DG811" s="493"/>
      <c r="DH811" s="493"/>
      <c r="DI811" s="493"/>
      <c r="DJ811" s="493"/>
      <c r="DK811" s="493"/>
      <c r="DL811" s="493"/>
      <c r="DM811" s="493"/>
      <c r="DN811" s="493"/>
      <c r="DO811" s="493"/>
      <c r="DP811" s="493"/>
      <c r="DQ811" s="493"/>
      <c r="DR811" s="493"/>
      <c r="DS811" s="493"/>
      <c r="DT811" s="493"/>
      <c r="DU811" s="493"/>
      <c r="DV811" s="493"/>
      <c r="DW811" s="493"/>
      <c r="DX811" s="493"/>
      <c r="DY811" s="493"/>
      <c r="DZ811" s="493"/>
    </row>
    <row r="812" spans="1:130" hidden="1" outlineLevel="2">
      <c r="A812" s="438"/>
      <c r="B812" s="490" t="s">
        <v>300</v>
      </c>
      <c r="C812" s="398" t="s">
        <v>607</v>
      </c>
      <c r="D812" s="399" t="s">
        <v>391</v>
      </c>
      <c r="E812" s="385"/>
      <c r="F812" s="385"/>
      <c r="G812" s="385"/>
      <c r="H812" s="385" t="s">
        <v>623</v>
      </c>
      <c r="I812" s="385" t="s">
        <v>160</v>
      </c>
      <c r="J812" s="489" t="s">
        <v>366</v>
      </c>
      <c r="K812" s="412"/>
      <c r="L812" s="412"/>
      <c r="M812" s="490" t="s">
        <v>37</v>
      </c>
      <c r="N812" s="490">
        <v>2</v>
      </c>
    </row>
    <row r="813" spans="1:130" hidden="1" outlineLevel="2">
      <c r="A813" s="438"/>
      <c r="B813" s="490" t="s">
        <v>300</v>
      </c>
      <c r="C813" s="398" t="s">
        <v>607</v>
      </c>
      <c r="D813" s="399" t="s">
        <v>391</v>
      </c>
      <c r="E813" s="385"/>
      <c r="F813" s="385"/>
      <c r="G813" s="385"/>
      <c r="H813" s="385" t="s">
        <v>628</v>
      </c>
      <c r="I813" s="385" t="s">
        <v>493</v>
      </c>
      <c r="J813" s="489" t="s">
        <v>366</v>
      </c>
      <c r="K813" s="412"/>
      <c r="L813" s="412"/>
      <c r="M813" s="490" t="s">
        <v>37</v>
      </c>
      <c r="N813" s="490">
        <v>1</v>
      </c>
    </row>
    <row r="814" spans="1:130" hidden="1" outlineLevel="2">
      <c r="A814" s="450"/>
      <c r="B814" s="490" t="s">
        <v>300</v>
      </c>
      <c r="C814" s="398" t="s">
        <v>607</v>
      </c>
      <c r="D814" s="399" t="s">
        <v>391</v>
      </c>
      <c r="E814" s="385"/>
      <c r="F814" s="385"/>
      <c r="G814" s="385"/>
      <c r="H814" s="385" t="s">
        <v>626</v>
      </c>
      <c r="I814" s="385" t="s">
        <v>491</v>
      </c>
      <c r="J814" s="489" t="s">
        <v>366</v>
      </c>
      <c r="K814" s="412"/>
      <c r="L814" s="412"/>
      <c r="M814" s="490" t="s">
        <v>37</v>
      </c>
      <c r="N814" s="490">
        <v>6</v>
      </c>
    </row>
    <row r="815" spans="1:130" hidden="1" outlineLevel="2">
      <c r="A815" s="450"/>
      <c r="B815" s="490" t="s">
        <v>300</v>
      </c>
      <c r="C815" s="398" t="s">
        <v>607</v>
      </c>
      <c r="D815" s="399" t="s">
        <v>391</v>
      </c>
      <c r="E815" s="385"/>
      <c r="F815" s="385"/>
      <c r="G815" s="385"/>
      <c r="H815" s="385" t="s">
        <v>627</v>
      </c>
      <c r="I815" s="385" t="s">
        <v>625</v>
      </c>
      <c r="J815" s="489" t="s">
        <v>366</v>
      </c>
      <c r="K815" s="412"/>
      <c r="L815" s="412"/>
      <c r="M815" s="490" t="s">
        <v>37</v>
      </c>
      <c r="N815" s="490">
        <v>6</v>
      </c>
    </row>
    <row r="816" spans="1:130" s="405" customFormat="1" ht="40.5" outlineLevel="1" collapsed="1">
      <c r="A816" s="489" t="s">
        <v>1402</v>
      </c>
      <c r="B816" s="490" t="s">
        <v>300</v>
      </c>
      <c r="C816" s="398" t="s">
        <v>607</v>
      </c>
      <c r="D816" s="399" t="s">
        <v>391</v>
      </c>
      <c r="E816" s="490" t="s">
        <v>629</v>
      </c>
      <c r="F816" s="385" t="s">
        <v>810</v>
      </c>
      <c r="G816" s="385"/>
      <c r="H816" s="401" t="s">
        <v>630</v>
      </c>
      <c r="I816" s="385" t="str">
        <f>CONCATENATE(I817," ","(",H817,")","-",N817," ",M817," ",I818," ","(",H818,")","-",N818," ",M818)</f>
        <v>Ремонт трансформаторов 35 кВ (1Т № 93156)-1 шт. Ремонт ОПН, разрядников 35 кВ (ОПН 35 1Т)-3 шт.</v>
      </c>
      <c r="J816" s="489" t="s">
        <v>366</v>
      </c>
      <c r="K816" s="450">
        <v>44348</v>
      </c>
      <c r="L816" s="450">
        <v>44469</v>
      </c>
      <c r="M816" s="490"/>
      <c r="N816" s="490"/>
      <c r="O816" s="493"/>
      <c r="P816" s="493"/>
      <c r="Q816" s="493"/>
      <c r="R816" s="493"/>
      <c r="S816" s="493"/>
      <c r="T816" s="493"/>
      <c r="U816" s="493"/>
      <c r="V816" s="493"/>
      <c r="W816" s="493"/>
      <c r="X816" s="493"/>
      <c r="Y816" s="493"/>
      <c r="Z816" s="493"/>
      <c r="AA816" s="493"/>
      <c r="AB816" s="493"/>
      <c r="AC816" s="493"/>
      <c r="AD816" s="493"/>
      <c r="AE816" s="493"/>
      <c r="AF816" s="493"/>
      <c r="AG816" s="493"/>
      <c r="AH816" s="493"/>
      <c r="AI816" s="493"/>
      <c r="AJ816" s="493"/>
      <c r="AK816" s="493"/>
      <c r="AL816" s="493"/>
      <c r="AM816" s="493"/>
      <c r="AN816" s="493"/>
      <c r="AO816" s="493"/>
      <c r="AP816" s="493"/>
      <c r="AQ816" s="493"/>
      <c r="AR816" s="493"/>
      <c r="AS816" s="493"/>
      <c r="AT816" s="493"/>
      <c r="AU816" s="493"/>
      <c r="AV816" s="493"/>
      <c r="AW816" s="493"/>
      <c r="AX816" s="493"/>
      <c r="AY816" s="493"/>
      <c r="AZ816" s="493"/>
      <c r="BA816" s="493"/>
      <c r="BB816" s="493"/>
      <c r="BC816" s="493"/>
      <c r="BD816" s="493"/>
      <c r="BE816" s="493"/>
      <c r="BF816" s="493"/>
      <c r="BG816" s="493"/>
      <c r="BH816" s="493"/>
      <c r="BI816" s="493"/>
      <c r="BJ816" s="493"/>
      <c r="BK816" s="493"/>
      <c r="BL816" s="493"/>
      <c r="BM816" s="493"/>
      <c r="BN816" s="493"/>
      <c r="BO816" s="493"/>
      <c r="BP816" s="493"/>
      <c r="BQ816" s="493"/>
      <c r="BR816" s="493"/>
      <c r="BS816" s="493"/>
      <c r="BT816" s="493"/>
      <c r="BU816" s="493"/>
      <c r="BV816" s="493"/>
      <c r="BW816" s="493"/>
      <c r="BX816" s="493"/>
      <c r="BY816" s="493"/>
      <c r="BZ816" s="493"/>
      <c r="CA816" s="493"/>
      <c r="CB816" s="493"/>
      <c r="CC816" s="493"/>
      <c r="CD816" s="493"/>
      <c r="CE816" s="493"/>
      <c r="CF816" s="493"/>
      <c r="CG816" s="493"/>
      <c r="CH816" s="493"/>
      <c r="CI816" s="493"/>
      <c r="CJ816" s="493"/>
      <c r="CK816" s="493"/>
      <c r="CL816" s="493"/>
      <c r="CM816" s="493"/>
      <c r="CN816" s="493"/>
      <c r="CO816" s="493"/>
      <c r="CP816" s="493"/>
      <c r="CQ816" s="493"/>
      <c r="CR816" s="493"/>
      <c r="CS816" s="493"/>
      <c r="CT816" s="493"/>
      <c r="CU816" s="493"/>
      <c r="CV816" s="493"/>
      <c r="CW816" s="493"/>
      <c r="CX816" s="493"/>
      <c r="CY816" s="493"/>
      <c r="CZ816" s="493"/>
      <c r="DA816" s="493"/>
      <c r="DB816" s="493"/>
      <c r="DC816" s="493"/>
      <c r="DD816" s="493"/>
      <c r="DE816" s="493"/>
      <c r="DF816" s="493"/>
      <c r="DG816" s="493"/>
      <c r="DH816" s="493"/>
      <c r="DI816" s="493"/>
      <c r="DJ816" s="493"/>
      <c r="DK816" s="493"/>
      <c r="DL816" s="493"/>
      <c r="DM816" s="493"/>
      <c r="DN816" s="493"/>
      <c r="DO816" s="493"/>
      <c r="DP816" s="493"/>
      <c r="DQ816" s="493"/>
      <c r="DR816" s="493"/>
      <c r="DS816" s="493"/>
      <c r="DT816" s="493"/>
      <c r="DU816" s="493"/>
      <c r="DV816" s="493"/>
      <c r="DW816" s="493"/>
      <c r="DX816" s="493"/>
      <c r="DY816" s="493"/>
      <c r="DZ816" s="493"/>
    </row>
    <row r="817" spans="1:130" hidden="1" outlineLevel="2">
      <c r="A817" s="438"/>
      <c r="B817" s="490" t="s">
        <v>300</v>
      </c>
      <c r="C817" s="398" t="s">
        <v>607</v>
      </c>
      <c r="D817" s="399" t="s">
        <v>391</v>
      </c>
      <c r="E817" s="385"/>
      <c r="F817" s="396"/>
      <c r="G817" s="385"/>
      <c r="H817" s="385" t="s">
        <v>633</v>
      </c>
      <c r="I817" s="385" t="s">
        <v>160</v>
      </c>
      <c r="J817" s="489" t="s">
        <v>366</v>
      </c>
      <c r="K817" s="412"/>
      <c r="L817" s="412"/>
      <c r="M817" s="490" t="s">
        <v>37</v>
      </c>
      <c r="N817" s="490">
        <v>1</v>
      </c>
    </row>
    <row r="818" spans="1:130" hidden="1" outlineLevel="2">
      <c r="A818" s="438"/>
      <c r="B818" s="490" t="s">
        <v>300</v>
      </c>
      <c r="C818" s="398" t="s">
        <v>607</v>
      </c>
      <c r="D818" s="399" t="s">
        <v>391</v>
      </c>
      <c r="E818" s="385"/>
      <c r="F818" s="396"/>
      <c r="G818" s="385"/>
      <c r="H818" s="385" t="s">
        <v>634</v>
      </c>
      <c r="I818" s="385" t="s">
        <v>491</v>
      </c>
      <c r="J818" s="489" t="s">
        <v>366</v>
      </c>
      <c r="K818" s="412"/>
      <c r="L818" s="412"/>
      <c r="M818" s="490" t="s">
        <v>37</v>
      </c>
      <c r="N818" s="490">
        <v>3</v>
      </c>
    </row>
    <row r="819" spans="1:130" s="405" customFormat="1" ht="60.75" outlineLevel="1" collapsed="1">
      <c r="A819" s="489" t="s">
        <v>3380</v>
      </c>
      <c r="B819" s="490" t="s">
        <v>300</v>
      </c>
      <c r="C819" s="398" t="s">
        <v>520</v>
      </c>
      <c r="D819" s="399" t="s">
        <v>391</v>
      </c>
      <c r="E819" s="490" t="s">
        <v>523</v>
      </c>
      <c r="F819" s="385" t="s">
        <v>810</v>
      </c>
      <c r="G819" s="385"/>
      <c r="H819" s="401" t="s">
        <v>551</v>
      </c>
      <c r="I819" s="385" t="str">
        <f>CONCATENATE(I820," ","(",H820,")","-",N820," ",M820," ",I821," ","(",H821,")","-",N821," ",M821)</f>
        <v>Ремонт трансформаторов 35 кВ (ТМН-6300/35-У1)-1 шт. Ремонт ОПН, разрядников 35 кВ (РВС-35
Р-35 1Т)-3 шт.</v>
      </c>
      <c r="J819" s="489" t="s">
        <v>366</v>
      </c>
      <c r="K819" s="450">
        <v>44287</v>
      </c>
      <c r="L819" s="450">
        <v>44316</v>
      </c>
      <c r="M819" s="490"/>
      <c r="N819" s="490"/>
      <c r="O819" s="493"/>
      <c r="P819" s="493"/>
      <c r="Q819" s="493"/>
      <c r="R819" s="493"/>
      <c r="S819" s="493"/>
      <c r="T819" s="493"/>
      <c r="U819" s="493"/>
      <c r="V819" s="493"/>
      <c r="W819" s="493"/>
      <c r="X819" s="493"/>
      <c r="Y819" s="493"/>
      <c r="Z819" s="493"/>
      <c r="AA819" s="493"/>
      <c r="AB819" s="493"/>
      <c r="AC819" s="493"/>
      <c r="AD819" s="493"/>
      <c r="AE819" s="493"/>
      <c r="AF819" s="493"/>
      <c r="AG819" s="493"/>
      <c r="AH819" s="493"/>
      <c r="AI819" s="493"/>
      <c r="AJ819" s="493"/>
      <c r="AK819" s="493"/>
      <c r="AL819" s="493"/>
      <c r="AM819" s="493"/>
      <c r="AN819" s="493"/>
      <c r="AO819" s="493"/>
      <c r="AP819" s="493"/>
      <c r="AQ819" s="493"/>
      <c r="AR819" s="493"/>
      <c r="AS819" s="493"/>
      <c r="AT819" s="493"/>
      <c r="AU819" s="493"/>
      <c r="AV819" s="493"/>
      <c r="AW819" s="493"/>
      <c r="AX819" s="493"/>
      <c r="AY819" s="493"/>
      <c r="AZ819" s="493"/>
      <c r="BA819" s="493"/>
      <c r="BB819" s="493"/>
      <c r="BC819" s="493"/>
      <c r="BD819" s="493"/>
      <c r="BE819" s="493"/>
      <c r="BF819" s="493"/>
      <c r="BG819" s="493"/>
      <c r="BH819" s="493"/>
      <c r="BI819" s="493"/>
      <c r="BJ819" s="493"/>
      <c r="BK819" s="493"/>
      <c r="BL819" s="493"/>
      <c r="BM819" s="493"/>
      <c r="BN819" s="493"/>
      <c r="BO819" s="493"/>
      <c r="BP819" s="493"/>
      <c r="BQ819" s="493"/>
      <c r="BR819" s="493"/>
      <c r="BS819" s="493"/>
      <c r="BT819" s="493"/>
      <c r="BU819" s="493"/>
      <c r="BV819" s="493"/>
      <c r="BW819" s="493"/>
      <c r="BX819" s="493"/>
      <c r="BY819" s="493"/>
      <c r="BZ819" s="493"/>
      <c r="CA819" s="493"/>
      <c r="CB819" s="493"/>
      <c r="CC819" s="493"/>
      <c r="CD819" s="493"/>
      <c r="CE819" s="493"/>
      <c r="CF819" s="493"/>
      <c r="CG819" s="493"/>
      <c r="CH819" s="493"/>
      <c r="CI819" s="493"/>
      <c r="CJ819" s="493"/>
      <c r="CK819" s="493"/>
      <c r="CL819" s="493"/>
      <c r="CM819" s="493"/>
      <c r="CN819" s="493"/>
      <c r="CO819" s="493"/>
      <c r="CP819" s="493"/>
      <c r="CQ819" s="493"/>
      <c r="CR819" s="493"/>
      <c r="CS819" s="493"/>
      <c r="CT819" s="493"/>
      <c r="CU819" s="493"/>
      <c r="CV819" s="493"/>
      <c r="CW819" s="493"/>
      <c r="CX819" s="493"/>
      <c r="CY819" s="493"/>
      <c r="CZ819" s="493"/>
      <c r="DA819" s="493"/>
      <c r="DB819" s="493"/>
      <c r="DC819" s="493"/>
      <c r="DD819" s="493"/>
      <c r="DE819" s="493"/>
      <c r="DF819" s="493"/>
      <c r="DG819" s="493"/>
      <c r="DH819" s="493"/>
      <c r="DI819" s="493"/>
      <c r="DJ819" s="493"/>
      <c r="DK819" s="493"/>
      <c r="DL819" s="493"/>
      <c r="DM819" s="493"/>
      <c r="DN819" s="493"/>
      <c r="DO819" s="493"/>
      <c r="DP819" s="493"/>
      <c r="DQ819" s="493"/>
      <c r="DR819" s="493"/>
      <c r="DS819" s="493"/>
      <c r="DT819" s="493"/>
      <c r="DU819" s="493"/>
      <c r="DV819" s="493"/>
      <c r="DW819" s="493"/>
      <c r="DX819" s="493"/>
      <c r="DY819" s="493"/>
      <c r="DZ819" s="493"/>
    </row>
    <row r="820" spans="1:130" hidden="1" outlineLevel="2">
      <c r="A820" s="438"/>
      <c r="B820" s="490" t="s">
        <v>300</v>
      </c>
      <c r="C820" s="398" t="s">
        <v>520</v>
      </c>
      <c r="D820" s="399" t="s">
        <v>391</v>
      </c>
      <c r="E820" s="385"/>
      <c r="F820" s="396"/>
      <c r="G820" s="385"/>
      <c r="H820" s="385" t="s">
        <v>524</v>
      </c>
      <c r="I820" s="385" t="s">
        <v>160</v>
      </c>
      <c r="J820" s="489" t="s">
        <v>366</v>
      </c>
      <c r="K820" s="412"/>
      <c r="L820" s="412"/>
      <c r="M820" s="490" t="s">
        <v>37</v>
      </c>
      <c r="N820" s="490">
        <v>1</v>
      </c>
    </row>
    <row r="821" spans="1:130" ht="40.5" hidden="1" outlineLevel="2">
      <c r="A821" s="438"/>
      <c r="B821" s="490" t="s">
        <v>300</v>
      </c>
      <c r="C821" s="398" t="s">
        <v>520</v>
      </c>
      <c r="D821" s="399" t="s">
        <v>391</v>
      </c>
      <c r="E821" s="385"/>
      <c r="F821" s="396"/>
      <c r="G821" s="385"/>
      <c r="H821" s="385" t="s">
        <v>525</v>
      </c>
      <c r="I821" s="385" t="s">
        <v>491</v>
      </c>
      <c r="J821" s="489" t="s">
        <v>366</v>
      </c>
      <c r="K821" s="412"/>
      <c r="L821" s="412"/>
      <c r="M821" s="490" t="s">
        <v>37</v>
      </c>
      <c r="N821" s="490">
        <v>3</v>
      </c>
    </row>
    <row r="822" spans="1:130" s="405" customFormat="1" ht="81" outlineLevel="1" collapsed="1">
      <c r="A822" s="489" t="s">
        <v>3381</v>
      </c>
      <c r="B822" s="490" t="s">
        <v>300</v>
      </c>
      <c r="C822" s="398" t="s">
        <v>520</v>
      </c>
      <c r="D822" s="399" t="s">
        <v>391</v>
      </c>
      <c r="E822" s="490" t="s">
        <v>526</v>
      </c>
      <c r="F822" s="385" t="s">
        <v>810</v>
      </c>
      <c r="G822" s="385"/>
      <c r="H822" s="401" t="s">
        <v>552</v>
      </c>
      <c r="I822" s="385" t="str">
        <f>CONCATENATE(I823," ","(",H823,")","-",N823," ",M823," ",I824,"  ","(",H824,")","-",N824," ",M824," ",I825," ","(",H825,")","-",N825," ",M825)</f>
        <v>Ремонт трансформаторов 35 кВ (ТМН-4000-35/6 1Т,ТМН-4000-35/6 2Т)-2 шт. Ремонт ОПН, разрядников 35 кВ  (Р-35 1Т,Р-35 2Т)-6 шт. Ремонт ОПН, разрядников 6-10 кВ (Р-20 1ДК,Р-20 2ДК)-2 шт.</v>
      </c>
      <c r="J822" s="489" t="s">
        <v>366</v>
      </c>
      <c r="K822" s="450">
        <v>44378</v>
      </c>
      <c r="L822" s="450">
        <v>44408</v>
      </c>
      <c r="M822" s="490"/>
      <c r="N822" s="490"/>
      <c r="O822" s="493"/>
      <c r="P822" s="493"/>
      <c r="Q822" s="493"/>
      <c r="R822" s="493"/>
      <c r="S822" s="493"/>
      <c r="T822" s="493"/>
      <c r="U822" s="493"/>
      <c r="V822" s="493"/>
      <c r="W822" s="493"/>
      <c r="X822" s="493"/>
      <c r="Y822" s="493"/>
      <c r="Z822" s="493"/>
      <c r="AA822" s="493"/>
      <c r="AB822" s="493"/>
      <c r="AC822" s="493"/>
      <c r="AD822" s="493"/>
      <c r="AE822" s="493"/>
      <c r="AF822" s="493"/>
      <c r="AG822" s="493"/>
      <c r="AH822" s="493"/>
      <c r="AI822" s="493"/>
      <c r="AJ822" s="493"/>
      <c r="AK822" s="493"/>
      <c r="AL822" s="493"/>
      <c r="AM822" s="493"/>
      <c r="AN822" s="493"/>
      <c r="AO822" s="493"/>
      <c r="AP822" s="493"/>
      <c r="AQ822" s="493"/>
      <c r="AR822" s="493"/>
      <c r="AS822" s="493"/>
      <c r="AT822" s="493"/>
      <c r="AU822" s="493"/>
      <c r="AV822" s="493"/>
      <c r="AW822" s="493"/>
      <c r="AX822" s="493"/>
      <c r="AY822" s="493"/>
      <c r="AZ822" s="493"/>
      <c r="BA822" s="493"/>
      <c r="BB822" s="493"/>
      <c r="BC822" s="493"/>
      <c r="BD822" s="493"/>
      <c r="BE822" s="493"/>
      <c r="BF822" s="493"/>
      <c r="BG822" s="493"/>
      <c r="BH822" s="493"/>
      <c r="BI822" s="493"/>
      <c r="BJ822" s="493"/>
      <c r="BK822" s="493"/>
      <c r="BL822" s="493"/>
      <c r="BM822" s="493"/>
      <c r="BN822" s="493"/>
      <c r="BO822" s="493"/>
      <c r="BP822" s="493"/>
      <c r="BQ822" s="493"/>
      <c r="BR822" s="493"/>
      <c r="BS822" s="493"/>
      <c r="BT822" s="493"/>
      <c r="BU822" s="493"/>
      <c r="BV822" s="493"/>
      <c r="BW822" s="493"/>
      <c r="BX822" s="493"/>
      <c r="BY822" s="493"/>
      <c r="BZ822" s="493"/>
      <c r="CA822" s="493"/>
      <c r="CB822" s="493"/>
      <c r="CC822" s="493"/>
      <c r="CD822" s="493"/>
      <c r="CE822" s="493"/>
      <c r="CF822" s="493"/>
      <c r="CG822" s="493"/>
      <c r="CH822" s="493"/>
      <c r="CI822" s="493"/>
      <c r="CJ822" s="493"/>
      <c r="CK822" s="493"/>
      <c r="CL822" s="493"/>
      <c r="CM822" s="493"/>
      <c r="CN822" s="493"/>
      <c r="CO822" s="493"/>
      <c r="CP822" s="493"/>
      <c r="CQ822" s="493"/>
      <c r="CR822" s="493"/>
      <c r="CS822" s="493"/>
      <c r="CT822" s="493"/>
      <c r="CU822" s="493"/>
      <c r="CV822" s="493"/>
      <c r="CW822" s="493"/>
      <c r="CX822" s="493"/>
      <c r="CY822" s="493"/>
      <c r="CZ822" s="493"/>
      <c r="DA822" s="493"/>
      <c r="DB822" s="493"/>
      <c r="DC822" s="493"/>
      <c r="DD822" s="493"/>
      <c r="DE822" s="493"/>
      <c r="DF822" s="493"/>
      <c r="DG822" s="493"/>
      <c r="DH822" s="493"/>
      <c r="DI822" s="493"/>
      <c r="DJ822" s="493"/>
      <c r="DK822" s="493"/>
      <c r="DL822" s="493"/>
      <c r="DM822" s="493"/>
      <c r="DN822" s="493"/>
      <c r="DO822" s="493"/>
      <c r="DP822" s="493"/>
      <c r="DQ822" s="493"/>
      <c r="DR822" s="493"/>
      <c r="DS822" s="493"/>
      <c r="DT822" s="493"/>
      <c r="DU822" s="493"/>
      <c r="DV822" s="493"/>
      <c r="DW822" s="493"/>
      <c r="DX822" s="493"/>
      <c r="DY822" s="493"/>
      <c r="DZ822" s="493"/>
    </row>
    <row r="823" spans="1:130" hidden="1" outlineLevel="2">
      <c r="A823" s="438"/>
      <c r="B823" s="490" t="s">
        <v>300</v>
      </c>
      <c r="C823" s="398" t="s">
        <v>520</v>
      </c>
      <c r="D823" s="399" t="s">
        <v>391</v>
      </c>
      <c r="E823" s="385"/>
      <c r="F823" s="385"/>
      <c r="G823" s="385"/>
      <c r="H823" s="385" t="s">
        <v>530</v>
      </c>
      <c r="I823" s="385" t="s">
        <v>160</v>
      </c>
      <c r="J823" s="489" t="s">
        <v>366</v>
      </c>
      <c r="K823" s="412"/>
      <c r="L823" s="412"/>
      <c r="M823" s="490" t="s">
        <v>37</v>
      </c>
      <c r="N823" s="490">
        <v>2</v>
      </c>
    </row>
    <row r="824" spans="1:130" hidden="1" outlineLevel="2">
      <c r="A824" s="438"/>
      <c r="B824" s="490" t="s">
        <v>300</v>
      </c>
      <c r="C824" s="398" t="s">
        <v>520</v>
      </c>
      <c r="D824" s="399" t="s">
        <v>391</v>
      </c>
      <c r="E824" s="385"/>
      <c r="F824" s="385"/>
      <c r="G824" s="385"/>
      <c r="H824" s="385" t="s">
        <v>528</v>
      </c>
      <c r="I824" s="385" t="s">
        <v>491</v>
      </c>
      <c r="J824" s="489" t="s">
        <v>366</v>
      </c>
      <c r="K824" s="412"/>
      <c r="L824" s="412"/>
      <c r="M824" s="490" t="s">
        <v>37</v>
      </c>
      <c r="N824" s="490">
        <v>6</v>
      </c>
    </row>
    <row r="825" spans="1:130" hidden="1" outlineLevel="2">
      <c r="A825" s="438"/>
      <c r="B825" s="490" t="s">
        <v>300</v>
      </c>
      <c r="C825" s="398" t="s">
        <v>520</v>
      </c>
      <c r="D825" s="399" t="s">
        <v>391</v>
      </c>
      <c r="E825" s="385"/>
      <c r="F825" s="385"/>
      <c r="G825" s="385"/>
      <c r="H825" s="385" t="s">
        <v>529</v>
      </c>
      <c r="I825" s="385" t="s">
        <v>625</v>
      </c>
      <c r="J825" s="489" t="s">
        <v>366</v>
      </c>
      <c r="K825" s="412"/>
      <c r="L825" s="412"/>
      <c r="M825" s="490" t="s">
        <v>37</v>
      </c>
      <c r="N825" s="490">
        <v>2</v>
      </c>
    </row>
    <row r="826" spans="1:130" s="405" customFormat="1" ht="40.5" outlineLevel="1" collapsed="1">
      <c r="A826" s="489" t="s">
        <v>3382</v>
      </c>
      <c r="B826" s="490" t="s">
        <v>300</v>
      </c>
      <c r="C826" s="398" t="s">
        <v>520</v>
      </c>
      <c r="D826" s="399" t="s">
        <v>391</v>
      </c>
      <c r="E826" s="490" t="s">
        <v>531</v>
      </c>
      <c r="F826" s="385" t="s">
        <v>810</v>
      </c>
      <c r="G826" s="385"/>
      <c r="H826" s="401" t="s">
        <v>553</v>
      </c>
      <c r="I826" s="385" t="str">
        <f>CONCATENATE(I827," ","(",H827,")","-",N827," ",M827," ",I828," ","(",H828,")","-",N828," ",M828)</f>
        <v>Ремонт трансформаторов 35 кВ (ТМ-2500-35/10)-1 шт. Ремонт ОПН, разрядников 35 кВ (Р-35 2Т)-3 шт.</v>
      </c>
      <c r="J826" s="489" t="s">
        <v>366</v>
      </c>
      <c r="K826" s="450">
        <v>44440</v>
      </c>
      <c r="L826" s="450">
        <v>44469</v>
      </c>
      <c r="M826" s="490"/>
      <c r="N826" s="490"/>
      <c r="O826" s="493"/>
      <c r="P826" s="493"/>
      <c r="Q826" s="493"/>
      <c r="R826" s="493"/>
      <c r="S826" s="493"/>
      <c r="T826" s="493"/>
      <c r="U826" s="493"/>
      <c r="V826" s="493"/>
      <c r="W826" s="493"/>
      <c r="X826" s="493"/>
      <c r="Y826" s="493"/>
      <c r="Z826" s="493"/>
      <c r="AA826" s="493"/>
      <c r="AB826" s="493"/>
      <c r="AC826" s="493"/>
      <c r="AD826" s="493"/>
      <c r="AE826" s="493"/>
      <c r="AF826" s="493"/>
      <c r="AG826" s="493"/>
      <c r="AH826" s="493"/>
      <c r="AI826" s="493"/>
      <c r="AJ826" s="493"/>
      <c r="AK826" s="493"/>
      <c r="AL826" s="493"/>
      <c r="AM826" s="493"/>
      <c r="AN826" s="493"/>
      <c r="AO826" s="493"/>
      <c r="AP826" s="493"/>
      <c r="AQ826" s="493"/>
      <c r="AR826" s="493"/>
      <c r="AS826" s="493"/>
      <c r="AT826" s="493"/>
      <c r="AU826" s="493"/>
      <c r="AV826" s="493"/>
      <c r="AW826" s="493"/>
      <c r="AX826" s="493"/>
      <c r="AY826" s="493"/>
      <c r="AZ826" s="493"/>
      <c r="BA826" s="493"/>
      <c r="BB826" s="493"/>
      <c r="BC826" s="493"/>
      <c r="BD826" s="493"/>
      <c r="BE826" s="493"/>
      <c r="BF826" s="493"/>
      <c r="BG826" s="493"/>
      <c r="BH826" s="493"/>
      <c r="BI826" s="493"/>
      <c r="BJ826" s="493"/>
      <c r="BK826" s="493"/>
      <c r="BL826" s="493"/>
      <c r="BM826" s="493"/>
      <c r="BN826" s="493"/>
      <c r="BO826" s="493"/>
      <c r="BP826" s="493"/>
      <c r="BQ826" s="493"/>
      <c r="BR826" s="493"/>
      <c r="BS826" s="493"/>
      <c r="BT826" s="493"/>
      <c r="BU826" s="493"/>
      <c r="BV826" s="493"/>
      <c r="BW826" s="493"/>
      <c r="BX826" s="493"/>
      <c r="BY826" s="493"/>
      <c r="BZ826" s="493"/>
      <c r="CA826" s="493"/>
      <c r="CB826" s="493"/>
      <c r="CC826" s="493"/>
      <c r="CD826" s="493"/>
      <c r="CE826" s="493"/>
      <c r="CF826" s="493"/>
      <c r="CG826" s="493"/>
      <c r="CH826" s="493"/>
      <c r="CI826" s="493"/>
      <c r="CJ826" s="493"/>
      <c r="CK826" s="493"/>
      <c r="CL826" s="493"/>
      <c r="CM826" s="493"/>
      <c r="CN826" s="493"/>
      <c r="CO826" s="493"/>
      <c r="CP826" s="493"/>
      <c r="CQ826" s="493"/>
      <c r="CR826" s="493"/>
      <c r="CS826" s="493"/>
      <c r="CT826" s="493"/>
      <c r="CU826" s="493"/>
      <c r="CV826" s="493"/>
      <c r="CW826" s="493"/>
      <c r="CX826" s="493"/>
      <c r="CY826" s="493"/>
      <c r="CZ826" s="493"/>
      <c r="DA826" s="493"/>
      <c r="DB826" s="493"/>
      <c r="DC826" s="493"/>
      <c r="DD826" s="493"/>
      <c r="DE826" s="493"/>
      <c r="DF826" s="493"/>
      <c r="DG826" s="493"/>
      <c r="DH826" s="493"/>
      <c r="DI826" s="493"/>
      <c r="DJ826" s="493"/>
      <c r="DK826" s="493"/>
      <c r="DL826" s="493"/>
      <c r="DM826" s="493"/>
      <c r="DN826" s="493"/>
      <c r="DO826" s="493"/>
      <c r="DP826" s="493"/>
      <c r="DQ826" s="493"/>
      <c r="DR826" s="493"/>
      <c r="DS826" s="493"/>
      <c r="DT826" s="493"/>
      <c r="DU826" s="493"/>
      <c r="DV826" s="493"/>
      <c r="DW826" s="493"/>
      <c r="DX826" s="493"/>
      <c r="DY826" s="493"/>
      <c r="DZ826" s="493"/>
    </row>
    <row r="827" spans="1:130" hidden="1" outlineLevel="2">
      <c r="A827" s="438"/>
      <c r="B827" s="490" t="s">
        <v>300</v>
      </c>
      <c r="C827" s="398" t="s">
        <v>520</v>
      </c>
      <c r="D827" s="399" t="s">
        <v>391</v>
      </c>
      <c r="E827" s="385"/>
      <c r="F827" s="396"/>
      <c r="G827" s="385"/>
      <c r="H827" s="385" t="s">
        <v>533</v>
      </c>
      <c r="I827" s="385" t="s">
        <v>160</v>
      </c>
      <c r="J827" s="489" t="s">
        <v>366</v>
      </c>
      <c r="K827" s="412"/>
      <c r="L827" s="412"/>
      <c r="M827" s="490" t="s">
        <v>37</v>
      </c>
      <c r="N827" s="490">
        <v>1</v>
      </c>
    </row>
    <row r="828" spans="1:130" hidden="1" outlineLevel="2">
      <c r="A828" s="438"/>
      <c r="B828" s="490" t="s">
        <v>300</v>
      </c>
      <c r="C828" s="398" t="s">
        <v>520</v>
      </c>
      <c r="D828" s="399" t="s">
        <v>391</v>
      </c>
      <c r="E828" s="385"/>
      <c r="F828" s="396"/>
      <c r="G828" s="385"/>
      <c r="H828" s="385" t="s">
        <v>532</v>
      </c>
      <c r="I828" s="385" t="s">
        <v>491</v>
      </c>
      <c r="J828" s="489" t="s">
        <v>366</v>
      </c>
      <c r="K828" s="412"/>
      <c r="L828" s="412"/>
      <c r="M828" s="490" t="s">
        <v>37</v>
      </c>
      <c r="N828" s="490">
        <v>3</v>
      </c>
    </row>
    <row r="829" spans="1:130" s="405" customFormat="1" ht="101.25" outlineLevel="1" collapsed="1">
      <c r="A829" s="489" t="s">
        <v>3383</v>
      </c>
      <c r="B829" s="490" t="s">
        <v>300</v>
      </c>
      <c r="C829" s="398" t="s">
        <v>520</v>
      </c>
      <c r="D829" s="399" t="s">
        <v>391</v>
      </c>
      <c r="E829" s="490" t="s">
        <v>534</v>
      </c>
      <c r="F829" s="385" t="s">
        <v>810</v>
      </c>
      <c r="G829" s="385"/>
      <c r="H829" s="401" t="s">
        <v>554</v>
      </c>
      <c r="I829" s="385" t="str">
        <f>CONCATENATE(I830," ","(",H830,")","-",N830," ",M830," ",I831," ","(",H831,")","-",N831," ",M831," ",I832," ","(",H832,")","-",N832," ",M832," ",I833," ","(",H833,")","-",N833," ",M833)</f>
        <v>Ремонт трансформаторов 35 кВ (1Т ТМН-6300/35/6, 2Т ТМН-6300/35/6)-2 шт. Ремонт трансформаторов СН (1ТСН,2ТСН)-2 шт. Ремонт ОПН, разрядников 35 кВ (Р-35 1Т,Р-35 2Т)-6 шт. Ремонт трансформатора напряжения 6-10 кВ (ТН-6 1с)-1 шт.</v>
      </c>
      <c r="J829" s="489" t="s">
        <v>366</v>
      </c>
      <c r="K829" s="450">
        <v>44409</v>
      </c>
      <c r="L829" s="450">
        <v>44439</v>
      </c>
      <c r="M829" s="490"/>
      <c r="N829" s="490"/>
      <c r="O829" s="493"/>
      <c r="P829" s="493"/>
      <c r="Q829" s="493"/>
      <c r="R829" s="493"/>
      <c r="S829" s="493"/>
      <c r="T829" s="493"/>
      <c r="U829" s="493"/>
      <c r="V829" s="493"/>
      <c r="W829" s="493"/>
      <c r="X829" s="493"/>
      <c r="Y829" s="493"/>
      <c r="Z829" s="493"/>
      <c r="AA829" s="493"/>
      <c r="AB829" s="493"/>
      <c r="AC829" s="493"/>
      <c r="AD829" s="493"/>
      <c r="AE829" s="493"/>
      <c r="AF829" s="493"/>
      <c r="AG829" s="493"/>
      <c r="AH829" s="493"/>
      <c r="AI829" s="493"/>
      <c r="AJ829" s="493"/>
      <c r="AK829" s="493"/>
      <c r="AL829" s="493"/>
      <c r="AM829" s="493"/>
      <c r="AN829" s="493"/>
      <c r="AO829" s="493"/>
      <c r="AP829" s="493"/>
      <c r="AQ829" s="493"/>
      <c r="AR829" s="493"/>
      <c r="AS829" s="493"/>
      <c r="AT829" s="493"/>
      <c r="AU829" s="493"/>
      <c r="AV829" s="493"/>
      <c r="AW829" s="493"/>
      <c r="AX829" s="493"/>
      <c r="AY829" s="493"/>
      <c r="AZ829" s="493"/>
      <c r="BA829" s="493"/>
      <c r="BB829" s="493"/>
      <c r="BC829" s="493"/>
      <c r="BD829" s="493"/>
      <c r="BE829" s="493"/>
      <c r="BF829" s="493"/>
      <c r="BG829" s="493"/>
      <c r="BH829" s="493"/>
      <c r="BI829" s="493"/>
      <c r="BJ829" s="493"/>
      <c r="BK829" s="493"/>
      <c r="BL829" s="493"/>
      <c r="BM829" s="493"/>
      <c r="BN829" s="493"/>
      <c r="BO829" s="493"/>
      <c r="BP829" s="493"/>
      <c r="BQ829" s="493"/>
      <c r="BR829" s="493"/>
      <c r="BS829" s="493"/>
      <c r="BT829" s="493"/>
      <c r="BU829" s="493"/>
      <c r="BV829" s="493"/>
      <c r="BW829" s="493"/>
      <c r="BX829" s="493"/>
      <c r="BY829" s="493"/>
      <c r="BZ829" s="493"/>
      <c r="CA829" s="493"/>
      <c r="CB829" s="493"/>
      <c r="CC829" s="493"/>
      <c r="CD829" s="493"/>
      <c r="CE829" s="493"/>
      <c r="CF829" s="493"/>
      <c r="CG829" s="493"/>
      <c r="CH829" s="493"/>
      <c r="CI829" s="493"/>
      <c r="CJ829" s="493"/>
      <c r="CK829" s="493"/>
      <c r="CL829" s="493"/>
      <c r="CM829" s="493"/>
      <c r="CN829" s="493"/>
      <c r="CO829" s="493"/>
      <c r="CP829" s="493"/>
      <c r="CQ829" s="493"/>
      <c r="CR829" s="493"/>
      <c r="CS829" s="493"/>
      <c r="CT829" s="493"/>
      <c r="CU829" s="493"/>
      <c r="CV829" s="493"/>
      <c r="CW829" s="493"/>
      <c r="CX829" s="493"/>
      <c r="CY829" s="493"/>
      <c r="CZ829" s="493"/>
      <c r="DA829" s="493"/>
      <c r="DB829" s="493"/>
      <c r="DC829" s="493"/>
      <c r="DD829" s="493"/>
      <c r="DE829" s="493"/>
      <c r="DF829" s="493"/>
      <c r="DG829" s="493"/>
      <c r="DH829" s="493"/>
      <c r="DI829" s="493"/>
      <c r="DJ829" s="493"/>
      <c r="DK829" s="493"/>
      <c r="DL829" s="493"/>
      <c r="DM829" s="493"/>
      <c r="DN829" s="493"/>
      <c r="DO829" s="493"/>
      <c r="DP829" s="493"/>
      <c r="DQ829" s="493"/>
      <c r="DR829" s="493"/>
      <c r="DS829" s="493"/>
      <c r="DT829" s="493"/>
      <c r="DU829" s="493"/>
      <c r="DV829" s="493"/>
      <c r="DW829" s="493"/>
      <c r="DX829" s="493"/>
      <c r="DY829" s="493"/>
      <c r="DZ829" s="493"/>
    </row>
    <row r="830" spans="1:130" hidden="1" outlineLevel="2">
      <c r="A830" s="438"/>
      <c r="B830" s="490" t="s">
        <v>300</v>
      </c>
      <c r="C830" s="398" t="s">
        <v>520</v>
      </c>
      <c r="D830" s="399" t="s">
        <v>391</v>
      </c>
      <c r="E830" s="385"/>
      <c r="F830" s="385"/>
      <c r="G830" s="385"/>
      <c r="H830" s="385" t="s">
        <v>536</v>
      </c>
      <c r="I830" s="385" t="s">
        <v>160</v>
      </c>
      <c r="J830" s="489" t="s">
        <v>366</v>
      </c>
      <c r="K830" s="412"/>
      <c r="L830" s="412"/>
      <c r="M830" s="490" t="s">
        <v>37</v>
      </c>
      <c r="N830" s="490">
        <v>2</v>
      </c>
    </row>
    <row r="831" spans="1:130" hidden="1" outlineLevel="2">
      <c r="A831" s="438"/>
      <c r="B831" s="490" t="s">
        <v>300</v>
      </c>
      <c r="C831" s="398" t="s">
        <v>520</v>
      </c>
      <c r="D831" s="399" t="s">
        <v>391</v>
      </c>
      <c r="E831" s="385"/>
      <c r="F831" s="385"/>
      <c r="G831" s="385"/>
      <c r="H831" s="385" t="s">
        <v>537</v>
      </c>
      <c r="I831" s="385" t="s">
        <v>163</v>
      </c>
      <c r="J831" s="489" t="s">
        <v>366</v>
      </c>
      <c r="K831" s="412"/>
      <c r="L831" s="412"/>
      <c r="M831" s="490" t="s">
        <v>37</v>
      </c>
      <c r="N831" s="490">
        <v>2</v>
      </c>
    </row>
    <row r="832" spans="1:130" hidden="1" outlineLevel="2">
      <c r="A832" s="450"/>
      <c r="B832" s="490" t="s">
        <v>300</v>
      </c>
      <c r="C832" s="398" t="s">
        <v>520</v>
      </c>
      <c r="D832" s="399" t="s">
        <v>391</v>
      </c>
      <c r="E832" s="385"/>
      <c r="F832" s="385"/>
      <c r="G832" s="385"/>
      <c r="H832" s="385" t="s">
        <v>528</v>
      </c>
      <c r="I832" s="385" t="s">
        <v>491</v>
      </c>
      <c r="J832" s="489" t="s">
        <v>366</v>
      </c>
      <c r="K832" s="412"/>
      <c r="L832" s="412"/>
      <c r="M832" s="490" t="s">
        <v>37</v>
      </c>
      <c r="N832" s="490">
        <v>6</v>
      </c>
    </row>
    <row r="833" spans="1:130" hidden="1" outlineLevel="2">
      <c r="A833" s="438"/>
      <c r="B833" s="490" t="s">
        <v>300</v>
      </c>
      <c r="C833" s="398" t="s">
        <v>520</v>
      </c>
      <c r="D833" s="399" t="s">
        <v>391</v>
      </c>
      <c r="E833" s="385"/>
      <c r="F833" s="385"/>
      <c r="G833" s="385"/>
      <c r="H833" s="385" t="s">
        <v>538</v>
      </c>
      <c r="I833" s="385" t="s">
        <v>3374</v>
      </c>
      <c r="J833" s="489" t="s">
        <v>366</v>
      </c>
      <c r="K833" s="412"/>
      <c r="L833" s="412"/>
      <c r="M833" s="490" t="s">
        <v>37</v>
      </c>
      <c r="N833" s="490">
        <v>1</v>
      </c>
    </row>
    <row r="834" spans="1:130" s="405" customFormat="1" ht="141.75" outlineLevel="1" collapsed="1">
      <c r="A834" s="489" t="s">
        <v>3384</v>
      </c>
      <c r="B834" s="490" t="s">
        <v>300</v>
      </c>
      <c r="C834" s="398" t="s">
        <v>520</v>
      </c>
      <c r="D834" s="399" t="s">
        <v>391</v>
      </c>
      <c r="E834" s="385" t="s">
        <v>1813</v>
      </c>
      <c r="F834" s="385" t="s">
        <v>810</v>
      </c>
      <c r="G834" s="385"/>
      <c r="H834" s="401" t="s">
        <v>555</v>
      </c>
      <c r="I834" s="385" t="str">
        <f>CONCATENATE(I835," ","(",H835,")","-",N835," ",M835," ",I836,"  ","(",H836,")","-",N836," ",M836," ",I839," ","(",H839,")","-",N839," ",M839," ",I837," ","(",H837,")","-",N837," ",M837," ",I838," ","(",H838,")","-",N838," ",M838)</f>
        <v>Ремонт трансформаторов 35 кВ (1Т ТМН-10000-35/10, 2Т ТМН-10000-35/10)-2 шт. Ремонт трансформатора напряжения 35 кВ  (ТН-35 1с,ТН-35 2с)-6 шт. Ремонт ОПН, разрядников 6-10 кВ (ОПН-10 1Т,ОПН-10 2Т)-6 шт. Ремонт трансформатора напряжения 6-10 кВ (ТН-10 1с,ТН-10 2с)-2 шт. Ремонт ОПН, разрядников 35 кВ (ОПН-35 1Т,ОПН-35 2Т)-12 шт.</v>
      </c>
      <c r="J834" s="489" t="s">
        <v>366</v>
      </c>
      <c r="K834" s="450">
        <v>44378</v>
      </c>
      <c r="L834" s="450">
        <v>44439</v>
      </c>
      <c r="M834" s="490"/>
      <c r="N834" s="490"/>
      <c r="O834" s="493"/>
      <c r="P834" s="493"/>
      <c r="Q834" s="493"/>
      <c r="R834" s="493"/>
      <c r="S834" s="493"/>
      <c r="T834" s="493"/>
      <c r="U834" s="493"/>
      <c r="V834" s="493"/>
      <c r="W834" s="493"/>
      <c r="X834" s="493"/>
      <c r="Y834" s="493"/>
      <c r="Z834" s="493"/>
      <c r="AA834" s="493"/>
      <c r="AB834" s="493"/>
      <c r="AC834" s="493"/>
      <c r="AD834" s="493"/>
      <c r="AE834" s="493"/>
      <c r="AF834" s="493"/>
      <c r="AG834" s="493"/>
      <c r="AH834" s="493"/>
      <c r="AI834" s="493"/>
      <c r="AJ834" s="493"/>
      <c r="AK834" s="493"/>
      <c r="AL834" s="493"/>
      <c r="AM834" s="493"/>
      <c r="AN834" s="493"/>
      <c r="AO834" s="493"/>
      <c r="AP834" s="493"/>
      <c r="AQ834" s="493"/>
      <c r="AR834" s="493"/>
      <c r="AS834" s="493"/>
      <c r="AT834" s="493"/>
      <c r="AU834" s="493"/>
      <c r="AV834" s="493"/>
      <c r="AW834" s="493"/>
      <c r="AX834" s="493"/>
      <c r="AY834" s="493"/>
      <c r="AZ834" s="493"/>
      <c r="BA834" s="493"/>
      <c r="BB834" s="493"/>
      <c r="BC834" s="493"/>
      <c r="BD834" s="493"/>
      <c r="BE834" s="493"/>
      <c r="BF834" s="493"/>
      <c r="BG834" s="493"/>
      <c r="BH834" s="493"/>
      <c r="BI834" s="493"/>
      <c r="BJ834" s="493"/>
      <c r="BK834" s="493"/>
      <c r="BL834" s="493"/>
      <c r="BM834" s="493"/>
      <c r="BN834" s="493"/>
      <c r="BO834" s="493"/>
      <c r="BP834" s="493"/>
      <c r="BQ834" s="493"/>
      <c r="BR834" s="493"/>
      <c r="BS834" s="493"/>
      <c r="BT834" s="493"/>
      <c r="BU834" s="493"/>
      <c r="BV834" s="493"/>
      <c r="BW834" s="493"/>
      <c r="BX834" s="493"/>
      <c r="BY834" s="493"/>
      <c r="BZ834" s="493"/>
      <c r="CA834" s="493"/>
      <c r="CB834" s="493"/>
      <c r="CC834" s="493"/>
      <c r="CD834" s="493"/>
      <c r="CE834" s="493"/>
      <c r="CF834" s="493"/>
      <c r="CG834" s="493"/>
      <c r="CH834" s="493"/>
      <c r="CI834" s="493"/>
      <c r="CJ834" s="493"/>
      <c r="CK834" s="493"/>
      <c r="CL834" s="493"/>
      <c r="CM834" s="493"/>
      <c r="CN834" s="493"/>
      <c r="CO834" s="493"/>
      <c r="CP834" s="493"/>
      <c r="CQ834" s="493"/>
      <c r="CR834" s="493"/>
      <c r="CS834" s="493"/>
      <c r="CT834" s="493"/>
      <c r="CU834" s="493"/>
      <c r="CV834" s="493"/>
      <c r="CW834" s="493"/>
      <c r="CX834" s="493"/>
      <c r="CY834" s="493"/>
      <c r="CZ834" s="493"/>
      <c r="DA834" s="493"/>
      <c r="DB834" s="493"/>
      <c r="DC834" s="493"/>
      <c r="DD834" s="493"/>
      <c r="DE834" s="493"/>
      <c r="DF834" s="493"/>
      <c r="DG834" s="493"/>
      <c r="DH834" s="493"/>
      <c r="DI834" s="493"/>
      <c r="DJ834" s="493"/>
      <c r="DK834" s="493"/>
      <c r="DL834" s="493"/>
      <c r="DM834" s="493"/>
      <c r="DN834" s="493"/>
      <c r="DO834" s="493"/>
      <c r="DP834" s="493"/>
      <c r="DQ834" s="493"/>
      <c r="DR834" s="493"/>
      <c r="DS834" s="493"/>
      <c r="DT834" s="493"/>
      <c r="DU834" s="493"/>
      <c r="DV834" s="493"/>
      <c r="DW834" s="493"/>
      <c r="DX834" s="493"/>
      <c r="DY834" s="493"/>
      <c r="DZ834" s="493"/>
    </row>
    <row r="835" spans="1:130" ht="40.5" hidden="1" outlineLevel="2">
      <c r="A835" s="438"/>
      <c r="B835" s="490" t="s">
        <v>300</v>
      </c>
      <c r="C835" s="398" t="s">
        <v>520</v>
      </c>
      <c r="D835" s="399" t="s">
        <v>391</v>
      </c>
      <c r="E835" s="385"/>
      <c r="F835" s="385"/>
      <c r="G835" s="385"/>
      <c r="H835" s="385" t="s">
        <v>1814</v>
      </c>
      <c r="I835" s="385" t="s">
        <v>160</v>
      </c>
      <c r="J835" s="489" t="s">
        <v>366</v>
      </c>
      <c r="K835" s="412"/>
      <c r="L835" s="412"/>
      <c r="M835" s="490" t="s">
        <v>37</v>
      </c>
      <c r="N835" s="490">
        <v>2</v>
      </c>
    </row>
    <row r="836" spans="1:130" hidden="1" outlineLevel="2">
      <c r="A836" s="438"/>
      <c r="B836" s="490" t="s">
        <v>300</v>
      </c>
      <c r="C836" s="398" t="s">
        <v>520</v>
      </c>
      <c r="D836" s="399" t="s">
        <v>391</v>
      </c>
      <c r="E836" s="385"/>
      <c r="F836" s="385"/>
      <c r="G836" s="385"/>
      <c r="H836" s="385" t="s">
        <v>540</v>
      </c>
      <c r="I836" s="385" t="s">
        <v>535</v>
      </c>
      <c r="J836" s="489" t="s">
        <v>366</v>
      </c>
      <c r="K836" s="412"/>
      <c r="L836" s="412"/>
      <c r="M836" s="490" t="s">
        <v>37</v>
      </c>
      <c r="N836" s="490">
        <v>6</v>
      </c>
    </row>
    <row r="837" spans="1:130" hidden="1" outlineLevel="2">
      <c r="A837" s="438"/>
      <c r="B837" s="490" t="s">
        <v>300</v>
      </c>
      <c r="C837" s="398" t="s">
        <v>520</v>
      </c>
      <c r="D837" s="399" t="s">
        <v>391</v>
      </c>
      <c r="E837" s="385"/>
      <c r="F837" s="385"/>
      <c r="G837" s="385"/>
      <c r="H837" s="385" t="s">
        <v>541</v>
      </c>
      <c r="I837" s="385" t="s">
        <v>3374</v>
      </c>
      <c r="J837" s="489" t="s">
        <v>366</v>
      </c>
      <c r="K837" s="412"/>
      <c r="L837" s="412"/>
      <c r="M837" s="490" t="s">
        <v>37</v>
      </c>
      <c r="N837" s="490">
        <v>2</v>
      </c>
    </row>
    <row r="838" spans="1:130" hidden="1" outlineLevel="2">
      <c r="A838" s="438"/>
      <c r="B838" s="490" t="s">
        <v>300</v>
      </c>
      <c r="C838" s="398" t="s">
        <v>520</v>
      </c>
      <c r="D838" s="399" t="s">
        <v>391</v>
      </c>
      <c r="E838" s="385"/>
      <c r="F838" s="385"/>
      <c r="G838" s="385"/>
      <c r="H838" s="385" t="s">
        <v>542</v>
      </c>
      <c r="I838" s="385" t="s">
        <v>491</v>
      </c>
      <c r="J838" s="489" t="s">
        <v>366</v>
      </c>
      <c r="K838" s="412"/>
      <c r="L838" s="412"/>
      <c r="M838" s="490" t="s">
        <v>37</v>
      </c>
      <c r="N838" s="490">
        <v>12</v>
      </c>
    </row>
    <row r="839" spans="1:130" hidden="1" outlineLevel="2">
      <c r="A839" s="438"/>
      <c r="B839" s="490" t="s">
        <v>300</v>
      </c>
      <c r="C839" s="398" t="s">
        <v>520</v>
      </c>
      <c r="D839" s="399" t="s">
        <v>391</v>
      </c>
      <c r="E839" s="385"/>
      <c r="F839" s="385"/>
      <c r="G839" s="385"/>
      <c r="H839" s="385" t="s">
        <v>543</v>
      </c>
      <c r="I839" s="385" t="s">
        <v>625</v>
      </c>
      <c r="J839" s="489" t="s">
        <v>366</v>
      </c>
      <c r="K839" s="412"/>
      <c r="L839" s="412"/>
      <c r="M839" s="490" t="s">
        <v>37</v>
      </c>
      <c r="N839" s="490">
        <v>6</v>
      </c>
    </row>
    <row r="840" spans="1:130" s="405" customFormat="1" ht="45" customHeight="1" outlineLevel="1" collapsed="1">
      <c r="A840" s="489" t="s">
        <v>3385</v>
      </c>
      <c r="B840" s="490" t="s">
        <v>300</v>
      </c>
      <c r="C840" s="398" t="s">
        <v>578</v>
      </c>
      <c r="D840" s="399" t="s">
        <v>391</v>
      </c>
      <c r="E840" s="490" t="s">
        <v>592</v>
      </c>
      <c r="F840" s="385" t="s">
        <v>810</v>
      </c>
      <c r="G840" s="385"/>
      <c r="H840" s="401" t="s">
        <v>590</v>
      </c>
      <c r="I840" s="385" t="str">
        <f>CONCATENATE(I841," ","(",H841,")","-",N841," ",M841)</f>
        <v>Ремонт выключателей 35 кВ (ОРУ 35, В 35 1Т, В 35 2Т  )-3 шт.</v>
      </c>
      <c r="J840" s="489" t="s">
        <v>366</v>
      </c>
      <c r="K840" s="450">
        <v>44287</v>
      </c>
      <c r="L840" s="450">
        <v>44316</v>
      </c>
      <c r="M840" s="490"/>
      <c r="N840" s="490"/>
      <c r="O840" s="493"/>
      <c r="P840" s="493"/>
      <c r="Q840" s="493"/>
      <c r="R840" s="493"/>
      <c r="S840" s="493"/>
      <c r="T840" s="493"/>
      <c r="U840" s="493"/>
      <c r="V840" s="493"/>
      <c r="W840" s="493"/>
      <c r="X840" s="493"/>
      <c r="Y840" s="493"/>
      <c r="Z840" s="493"/>
      <c r="AA840" s="493"/>
      <c r="AB840" s="493"/>
      <c r="AC840" s="493"/>
      <c r="AD840" s="493"/>
      <c r="AE840" s="493"/>
      <c r="AF840" s="493"/>
      <c r="AG840" s="493"/>
      <c r="AH840" s="493"/>
      <c r="AI840" s="493"/>
      <c r="AJ840" s="493"/>
      <c r="AK840" s="493"/>
      <c r="AL840" s="493"/>
      <c r="AM840" s="493"/>
      <c r="AN840" s="493"/>
      <c r="AO840" s="493"/>
      <c r="AP840" s="493"/>
      <c r="AQ840" s="493"/>
      <c r="AR840" s="493"/>
      <c r="AS840" s="493"/>
      <c r="AT840" s="493"/>
      <c r="AU840" s="493"/>
      <c r="AV840" s="493"/>
      <c r="AW840" s="493"/>
      <c r="AX840" s="493"/>
      <c r="AY840" s="493"/>
      <c r="AZ840" s="493"/>
      <c r="BA840" s="493"/>
      <c r="BB840" s="493"/>
      <c r="BC840" s="493"/>
      <c r="BD840" s="493"/>
      <c r="BE840" s="493"/>
      <c r="BF840" s="493"/>
      <c r="BG840" s="493"/>
      <c r="BH840" s="493"/>
      <c r="BI840" s="493"/>
      <c r="BJ840" s="493"/>
      <c r="BK840" s="493"/>
      <c r="BL840" s="493"/>
      <c r="BM840" s="493"/>
      <c r="BN840" s="493"/>
      <c r="BO840" s="493"/>
      <c r="BP840" s="493"/>
      <c r="BQ840" s="493"/>
      <c r="BR840" s="493"/>
      <c r="BS840" s="493"/>
      <c r="BT840" s="493"/>
      <c r="BU840" s="493"/>
      <c r="BV840" s="493"/>
      <c r="BW840" s="493"/>
      <c r="BX840" s="493"/>
      <c r="BY840" s="493"/>
      <c r="BZ840" s="493"/>
      <c r="CA840" s="493"/>
      <c r="CB840" s="493"/>
      <c r="CC840" s="493"/>
      <c r="CD840" s="493"/>
      <c r="CE840" s="493"/>
      <c r="CF840" s="493"/>
      <c r="CG840" s="493"/>
      <c r="CH840" s="493"/>
      <c r="CI840" s="493"/>
      <c r="CJ840" s="493"/>
      <c r="CK840" s="493"/>
      <c r="CL840" s="493"/>
      <c r="CM840" s="493"/>
      <c r="CN840" s="493"/>
      <c r="CO840" s="493"/>
      <c r="CP840" s="493"/>
      <c r="CQ840" s="493"/>
      <c r="CR840" s="493"/>
      <c r="CS840" s="493"/>
      <c r="CT840" s="493"/>
      <c r="CU840" s="493"/>
      <c r="CV840" s="493"/>
      <c r="CW840" s="493"/>
      <c r="CX840" s="493"/>
      <c r="CY840" s="493"/>
      <c r="CZ840" s="493"/>
      <c r="DA840" s="493"/>
      <c r="DB840" s="493"/>
      <c r="DC840" s="493"/>
      <c r="DD840" s="493"/>
      <c r="DE840" s="493"/>
      <c r="DF840" s="493"/>
      <c r="DG840" s="493"/>
      <c r="DH840" s="493"/>
      <c r="DI840" s="493"/>
      <c r="DJ840" s="493"/>
      <c r="DK840" s="493"/>
      <c r="DL840" s="493"/>
      <c r="DM840" s="493"/>
      <c r="DN840" s="493"/>
      <c r="DO840" s="493"/>
      <c r="DP840" s="493"/>
      <c r="DQ840" s="493"/>
      <c r="DR840" s="493"/>
      <c r="DS840" s="493"/>
      <c r="DT840" s="493"/>
      <c r="DU840" s="493"/>
      <c r="DV840" s="493"/>
      <c r="DW840" s="493"/>
      <c r="DX840" s="493"/>
      <c r="DY840" s="493"/>
      <c r="DZ840" s="493"/>
    </row>
    <row r="841" spans="1:130" hidden="1" outlineLevel="2">
      <c r="A841" s="438"/>
      <c r="B841" s="490" t="s">
        <v>300</v>
      </c>
      <c r="C841" s="398" t="s">
        <v>578</v>
      </c>
      <c r="D841" s="399" t="s">
        <v>391</v>
      </c>
      <c r="E841" s="385"/>
      <c r="F841" s="396"/>
      <c r="G841" s="385"/>
      <c r="H841" s="385" t="s">
        <v>591</v>
      </c>
      <c r="I841" s="385" t="s">
        <v>189</v>
      </c>
      <c r="J841" s="489" t="s">
        <v>366</v>
      </c>
      <c r="K841" s="412"/>
      <c r="L841" s="412"/>
      <c r="M841" s="490" t="s">
        <v>37</v>
      </c>
      <c r="N841" s="490">
        <v>3</v>
      </c>
    </row>
    <row r="842" spans="1:130" s="405" customFormat="1" ht="40.5" outlineLevel="1" collapsed="1">
      <c r="A842" s="489" t="s">
        <v>3386</v>
      </c>
      <c r="B842" s="490" t="s">
        <v>300</v>
      </c>
      <c r="C842" s="398" t="s">
        <v>578</v>
      </c>
      <c r="D842" s="399" t="s">
        <v>391</v>
      </c>
      <c r="E842" s="490" t="s">
        <v>579</v>
      </c>
      <c r="F842" s="385" t="s">
        <v>810</v>
      </c>
      <c r="G842" s="385"/>
      <c r="H842" s="401" t="s">
        <v>580</v>
      </c>
      <c r="I842" s="385" t="str">
        <f>CONCATENATE(I843," ","(",H843,")","-",N843," ",M843," ",I844," ","(",H844,")","-",N844," ",M844)</f>
        <v>Ремонт трансформаторов СН (1ТСН 6 (ТМ-25/6) )-1 шт. Ремонт ОПН, разрядников 6-10 кВ (ОПН 6 1Т )-3 шт.</v>
      </c>
      <c r="J842" s="489" t="s">
        <v>366</v>
      </c>
      <c r="K842" s="450">
        <v>44317</v>
      </c>
      <c r="L842" s="450">
        <v>44347</v>
      </c>
      <c r="M842" s="490"/>
      <c r="N842" s="490"/>
      <c r="O842" s="493"/>
      <c r="P842" s="493"/>
      <c r="Q842" s="493"/>
      <c r="R842" s="493"/>
      <c r="S842" s="493"/>
      <c r="T842" s="493"/>
      <c r="U842" s="493"/>
      <c r="V842" s="493"/>
      <c r="W842" s="493"/>
      <c r="X842" s="493"/>
      <c r="Y842" s="493"/>
      <c r="Z842" s="493"/>
      <c r="AA842" s="493"/>
      <c r="AB842" s="493"/>
      <c r="AC842" s="493"/>
      <c r="AD842" s="493"/>
      <c r="AE842" s="493"/>
      <c r="AF842" s="493"/>
      <c r="AG842" s="493"/>
      <c r="AH842" s="493"/>
      <c r="AI842" s="493"/>
      <c r="AJ842" s="493"/>
      <c r="AK842" s="493"/>
      <c r="AL842" s="493"/>
      <c r="AM842" s="493"/>
      <c r="AN842" s="493"/>
      <c r="AO842" s="493"/>
      <c r="AP842" s="493"/>
      <c r="AQ842" s="493"/>
      <c r="AR842" s="493"/>
      <c r="AS842" s="493"/>
      <c r="AT842" s="493"/>
      <c r="AU842" s="493"/>
      <c r="AV842" s="493"/>
      <c r="AW842" s="493"/>
      <c r="AX842" s="493"/>
      <c r="AY842" s="493"/>
      <c r="AZ842" s="493"/>
      <c r="BA842" s="493"/>
      <c r="BB842" s="493"/>
      <c r="BC842" s="493"/>
      <c r="BD842" s="493"/>
      <c r="BE842" s="493"/>
      <c r="BF842" s="493"/>
      <c r="BG842" s="493"/>
      <c r="BH842" s="493"/>
      <c r="BI842" s="493"/>
      <c r="BJ842" s="493"/>
      <c r="BK842" s="493"/>
      <c r="BL842" s="493"/>
      <c r="BM842" s="493"/>
      <c r="BN842" s="493"/>
      <c r="BO842" s="493"/>
      <c r="BP842" s="493"/>
      <c r="BQ842" s="493"/>
      <c r="BR842" s="493"/>
      <c r="BS842" s="493"/>
      <c r="BT842" s="493"/>
      <c r="BU842" s="493"/>
      <c r="BV842" s="493"/>
      <c r="BW842" s="493"/>
      <c r="BX842" s="493"/>
      <c r="BY842" s="493"/>
      <c r="BZ842" s="493"/>
      <c r="CA842" s="493"/>
      <c r="CB842" s="493"/>
      <c r="CC842" s="493"/>
      <c r="CD842" s="493"/>
      <c r="CE842" s="493"/>
      <c r="CF842" s="493"/>
      <c r="CG842" s="493"/>
      <c r="CH842" s="493"/>
      <c r="CI842" s="493"/>
      <c r="CJ842" s="493"/>
      <c r="CK842" s="493"/>
      <c r="CL842" s="493"/>
      <c r="CM842" s="493"/>
      <c r="CN842" s="493"/>
      <c r="CO842" s="493"/>
      <c r="CP842" s="493"/>
      <c r="CQ842" s="493"/>
      <c r="CR842" s="493"/>
      <c r="CS842" s="493"/>
      <c r="CT842" s="493"/>
      <c r="CU842" s="493"/>
      <c r="CV842" s="493"/>
      <c r="CW842" s="493"/>
      <c r="CX842" s="493"/>
      <c r="CY842" s="493"/>
      <c r="CZ842" s="493"/>
      <c r="DA842" s="493"/>
      <c r="DB842" s="493"/>
      <c r="DC842" s="493"/>
      <c r="DD842" s="493"/>
      <c r="DE842" s="493"/>
      <c r="DF842" s="493"/>
      <c r="DG842" s="493"/>
      <c r="DH842" s="493"/>
      <c r="DI842" s="493"/>
      <c r="DJ842" s="493"/>
      <c r="DK842" s="493"/>
      <c r="DL842" s="493"/>
      <c r="DM842" s="493"/>
      <c r="DN842" s="493"/>
      <c r="DO842" s="493"/>
      <c r="DP842" s="493"/>
      <c r="DQ842" s="493"/>
      <c r="DR842" s="493"/>
      <c r="DS842" s="493"/>
      <c r="DT842" s="493"/>
      <c r="DU842" s="493"/>
      <c r="DV842" s="493"/>
      <c r="DW842" s="493"/>
      <c r="DX842" s="493"/>
      <c r="DY842" s="493"/>
      <c r="DZ842" s="493"/>
    </row>
    <row r="843" spans="1:130" hidden="1" outlineLevel="2">
      <c r="A843" s="438"/>
      <c r="B843" s="490" t="s">
        <v>300</v>
      </c>
      <c r="C843" s="398" t="s">
        <v>578</v>
      </c>
      <c r="D843" s="399" t="s">
        <v>391</v>
      </c>
      <c r="E843" s="385"/>
      <c r="F843" s="385"/>
      <c r="G843" s="385"/>
      <c r="H843" s="385" t="s">
        <v>594</v>
      </c>
      <c r="I843" s="385" t="s">
        <v>163</v>
      </c>
      <c r="J843" s="489" t="s">
        <v>366</v>
      </c>
      <c r="K843" s="412"/>
      <c r="L843" s="412"/>
      <c r="M843" s="490" t="s">
        <v>37</v>
      </c>
      <c r="N843" s="490">
        <v>1</v>
      </c>
    </row>
    <row r="844" spans="1:130" hidden="1" outlineLevel="2">
      <c r="A844" s="438"/>
      <c r="B844" s="490" t="s">
        <v>300</v>
      </c>
      <c r="C844" s="398" t="s">
        <v>578</v>
      </c>
      <c r="D844" s="399" t="s">
        <v>391</v>
      </c>
      <c r="E844" s="385"/>
      <c r="F844" s="385"/>
      <c r="G844" s="385"/>
      <c r="H844" s="385" t="s">
        <v>593</v>
      </c>
      <c r="I844" s="385" t="s">
        <v>625</v>
      </c>
      <c r="J844" s="489" t="s">
        <v>366</v>
      </c>
      <c r="K844" s="412"/>
      <c r="L844" s="412"/>
      <c r="M844" s="490" t="s">
        <v>37</v>
      </c>
      <c r="N844" s="490">
        <v>3</v>
      </c>
    </row>
    <row r="845" spans="1:130" s="405" customFormat="1" ht="141.75" outlineLevel="1" collapsed="1">
      <c r="A845" s="489" t="s">
        <v>3387</v>
      </c>
      <c r="B845" s="490" t="s">
        <v>300</v>
      </c>
      <c r="C845" s="398" t="s">
        <v>578</v>
      </c>
      <c r="D845" s="399" t="s">
        <v>391</v>
      </c>
      <c r="E845" s="490" t="s">
        <v>596</v>
      </c>
      <c r="F845" s="385" t="s">
        <v>810</v>
      </c>
      <c r="G845" s="385"/>
      <c r="H845" s="401" t="s">
        <v>595</v>
      </c>
      <c r="I845" s="385" t="str">
        <f>CONCATENATE(I846," ","(",H846,")","-",N846," ",M846," ",I847,"  ","(",H847,")","-",N847," ",M847," ",I850," ","(",H850,")","-",N850," ",M850," ",I848," ","(",H848,")","-",N848," ",M848," ",I849," ","(",H849,")","-",N849," ",M849)</f>
        <v>Ремонт трансформаторов 35 кВ (1Т (ТМ-6300/35/6 зав.№051 ), 2Т (ТМ-6300/35/6 зав.№1154 ) )-2 шт. Ремонт трансформаторов СН  (1ТСН 6, 2ТСН 6 (ТМ-25/6) )-2 шт. Ремонт ОПН, разрядников 6-10 кВ (ОПН-6 1Т,ОПН-6 2Т)-6 шт. Ремонт выключателя 35 кВ (В 35 1Т, В 35 2Т, СВ-35)-3 шт. Ремонт ОПН, разрядников 35 кВ (ОПН-35 1Т,ОПН-35 2Т)-6 шт.</v>
      </c>
      <c r="J845" s="489" t="s">
        <v>366</v>
      </c>
      <c r="K845" s="450">
        <v>44378</v>
      </c>
      <c r="L845" s="450">
        <v>44408</v>
      </c>
      <c r="M845" s="490"/>
      <c r="N845" s="490"/>
      <c r="O845" s="493"/>
      <c r="P845" s="493"/>
      <c r="Q845" s="493"/>
      <c r="R845" s="493"/>
      <c r="S845" s="493"/>
      <c r="T845" s="493"/>
      <c r="U845" s="493"/>
      <c r="V845" s="493"/>
      <c r="W845" s="493"/>
      <c r="X845" s="493"/>
      <c r="Y845" s="493"/>
      <c r="Z845" s="493"/>
      <c r="AA845" s="493"/>
      <c r="AB845" s="493"/>
      <c r="AC845" s="493"/>
      <c r="AD845" s="493"/>
      <c r="AE845" s="493"/>
      <c r="AF845" s="493"/>
      <c r="AG845" s="493"/>
      <c r="AH845" s="493"/>
      <c r="AI845" s="493"/>
      <c r="AJ845" s="493"/>
      <c r="AK845" s="493"/>
      <c r="AL845" s="493"/>
      <c r="AM845" s="493"/>
      <c r="AN845" s="493"/>
      <c r="AO845" s="493"/>
      <c r="AP845" s="493"/>
      <c r="AQ845" s="493"/>
      <c r="AR845" s="493"/>
      <c r="AS845" s="493"/>
      <c r="AT845" s="493"/>
      <c r="AU845" s="493"/>
      <c r="AV845" s="493"/>
      <c r="AW845" s="493"/>
      <c r="AX845" s="493"/>
      <c r="AY845" s="493"/>
      <c r="AZ845" s="493"/>
      <c r="BA845" s="493"/>
      <c r="BB845" s="493"/>
      <c r="BC845" s="493"/>
      <c r="BD845" s="493"/>
      <c r="BE845" s="493"/>
      <c r="BF845" s="493"/>
      <c r="BG845" s="493"/>
      <c r="BH845" s="493"/>
      <c r="BI845" s="493"/>
      <c r="BJ845" s="493"/>
      <c r="BK845" s="493"/>
      <c r="BL845" s="493"/>
      <c r="BM845" s="493"/>
      <c r="BN845" s="493"/>
      <c r="BO845" s="493"/>
      <c r="BP845" s="493"/>
      <c r="BQ845" s="493"/>
      <c r="BR845" s="493"/>
      <c r="BS845" s="493"/>
      <c r="BT845" s="493"/>
      <c r="BU845" s="493"/>
      <c r="BV845" s="493"/>
      <c r="BW845" s="493"/>
      <c r="BX845" s="493"/>
      <c r="BY845" s="493"/>
      <c r="BZ845" s="493"/>
      <c r="CA845" s="493"/>
      <c r="CB845" s="493"/>
      <c r="CC845" s="493"/>
      <c r="CD845" s="493"/>
      <c r="CE845" s="493"/>
      <c r="CF845" s="493"/>
      <c r="CG845" s="493"/>
      <c r="CH845" s="493"/>
      <c r="CI845" s="493"/>
      <c r="CJ845" s="493"/>
      <c r="CK845" s="493"/>
      <c r="CL845" s="493"/>
      <c r="CM845" s="493"/>
      <c r="CN845" s="493"/>
      <c r="CO845" s="493"/>
      <c r="CP845" s="493"/>
      <c r="CQ845" s="493"/>
      <c r="CR845" s="493"/>
      <c r="CS845" s="493"/>
      <c r="CT845" s="493"/>
      <c r="CU845" s="493"/>
      <c r="CV845" s="493"/>
      <c r="CW845" s="493"/>
      <c r="CX845" s="493"/>
      <c r="CY845" s="493"/>
      <c r="CZ845" s="493"/>
      <c r="DA845" s="493"/>
      <c r="DB845" s="493"/>
      <c r="DC845" s="493"/>
      <c r="DD845" s="493"/>
      <c r="DE845" s="493"/>
      <c r="DF845" s="493"/>
      <c r="DG845" s="493"/>
      <c r="DH845" s="493"/>
      <c r="DI845" s="493"/>
      <c r="DJ845" s="493"/>
      <c r="DK845" s="493"/>
      <c r="DL845" s="493"/>
      <c r="DM845" s="493"/>
      <c r="DN845" s="493"/>
      <c r="DO845" s="493"/>
      <c r="DP845" s="493"/>
      <c r="DQ845" s="493"/>
      <c r="DR845" s="493"/>
      <c r="DS845" s="493"/>
      <c r="DT845" s="493"/>
      <c r="DU845" s="493"/>
      <c r="DV845" s="493"/>
      <c r="DW845" s="493"/>
      <c r="DX845" s="493"/>
      <c r="DY845" s="493"/>
      <c r="DZ845" s="493"/>
    </row>
    <row r="846" spans="1:130" ht="40.5" hidden="1" outlineLevel="2">
      <c r="A846" s="438"/>
      <c r="B846" s="490" t="s">
        <v>300</v>
      </c>
      <c r="C846" s="398" t="s">
        <v>578</v>
      </c>
      <c r="D846" s="399" t="s">
        <v>391</v>
      </c>
      <c r="E846" s="385"/>
      <c r="F846" s="385"/>
      <c r="G846" s="385"/>
      <c r="H846" s="385" t="s">
        <v>601</v>
      </c>
      <c r="I846" s="385" t="s">
        <v>160</v>
      </c>
      <c r="J846" s="489" t="s">
        <v>366</v>
      </c>
      <c r="K846" s="412"/>
      <c r="L846" s="412"/>
      <c r="M846" s="490" t="s">
        <v>37</v>
      </c>
      <c r="N846" s="490">
        <v>2</v>
      </c>
    </row>
    <row r="847" spans="1:130" hidden="1" outlineLevel="2">
      <c r="A847" s="438"/>
      <c r="B847" s="490" t="s">
        <v>300</v>
      </c>
      <c r="C847" s="398" t="s">
        <v>578</v>
      </c>
      <c r="D847" s="399" t="s">
        <v>391</v>
      </c>
      <c r="E847" s="385"/>
      <c r="F847" s="385"/>
      <c r="G847" s="385"/>
      <c r="H847" s="385" t="s">
        <v>600</v>
      </c>
      <c r="I847" s="385" t="s">
        <v>163</v>
      </c>
      <c r="J847" s="489" t="s">
        <v>366</v>
      </c>
      <c r="K847" s="412"/>
      <c r="L847" s="412"/>
      <c r="M847" s="490" t="s">
        <v>37</v>
      </c>
      <c r="N847" s="490">
        <v>2</v>
      </c>
    </row>
    <row r="848" spans="1:130" hidden="1" outlineLevel="2">
      <c r="A848" s="438"/>
      <c r="B848" s="490" t="s">
        <v>300</v>
      </c>
      <c r="C848" s="398" t="s">
        <v>578</v>
      </c>
      <c r="D848" s="399" t="s">
        <v>391</v>
      </c>
      <c r="E848" s="385"/>
      <c r="F848" s="385"/>
      <c r="G848" s="385"/>
      <c r="H848" s="385" t="s">
        <v>599</v>
      </c>
      <c r="I848" s="385" t="s">
        <v>598</v>
      </c>
      <c r="J848" s="489" t="s">
        <v>366</v>
      </c>
      <c r="K848" s="412"/>
      <c r="L848" s="412"/>
      <c r="M848" s="490" t="s">
        <v>37</v>
      </c>
      <c r="N848" s="490">
        <v>3</v>
      </c>
    </row>
    <row r="849" spans="1:130" hidden="1" outlineLevel="2">
      <c r="A849" s="438"/>
      <c r="B849" s="490" t="s">
        <v>300</v>
      </c>
      <c r="C849" s="398" t="s">
        <v>578</v>
      </c>
      <c r="D849" s="399" t="s">
        <v>391</v>
      </c>
      <c r="E849" s="385"/>
      <c r="F849" s="385"/>
      <c r="G849" s="385"/>
      <c r="H849" s="385" t="s">
        <v>542</v>
      </c>
      <c r="I849" s="385" t="s">
        <v>491</v>
      </c>
      <c r="J849" s="489" t="s">
        <v>366</v>
      </c>
      <c r="K849" s="412"/>
      <c r="L849" s="412"/>
      <c r="M849" s="490" t="s">
        <v>37</v>
      </c>
      <c r="N849" s="490">
        <v>6</v>
      </c>
    </row>
    <row r="850" spans="1:130" hidden="1" outlineLevel="2">
      <c r="A850" s="438"/>
      <c r="B850" s="490" t="s">
        <v>300</v>
      </c>
      <c r="C850" s="398" t="s">
        <v>578</v>
      </c>
      <c r="D850" s="399" t="s">
        <v>391</v>
      </c>
      <c r="E850" s="385"/>
      <c r="F850" s="385"/>
      <c r="G850" s="385"/>
      <c r="H850" s="385" t="s">
        <v>597</v>
      </c>
      <c r="I850" s="385" t="s">
        <v>625</v>
      </c>
      <c r="J850" s="489" t="s">
        <v>366</v>
      </c>
      <c r="K850" s="412"/>
      <c r="L850" s="412"/>
      <c r="M850" s="490" t="s">
        <v>37</v>
      </c>
      <c r="N850" s="490">
        <v>6</v>
      </c>
    </row>
    <row r="851" spans="1:130" s="405" customFormat="1" ht="81" outlineLevel="1" collapsed="1">
      <c r="A851" s="489" t="s">
        <v>3388</v>
      </c>
      <c r="B851" s="490" t="s">
        <v>300</v>
      </c>
      <c r="C851" s="398" t="s">
        <v>578</v>
      </c>
      <c r="D851" s="399" t="s">
        <v>391</v>
      </c>
      <c r="E851" s="490" t="s">
        <v>582</v>
      </c>
      <c r="F851" s="385" t="s">
        <v>810</v>
      </c>
      <c r="G851" s="385"/>
      <c r="H851" s="401" t="s">
        <v>581</v>
      </c>
      <c r="I851" s="385" t="str">
        <f>CONCATENATE(I852," ","(",H852,")","-",N852," ",M852," ",I853," ","(",H853,")","-",N853," ",M853," ",I854," ","(",H854,")","-",N854," ",M854)</f>
        <v>Ремонт трансформаторов 35 кВ (1Т (ТМ-6300/35/10 зав.№1061 ))-1 шт. Ремонт разъединителя 35 кВ (ШР 35 Т-42, ЛР 35 Т-42, СР 35 1с, СР 35 2с, ШР 35 Т-45, ЛР 35 Т-45 )-6 шт. ремонт блокировок ()-19 шт.</v>
      </c>
      <c r="J851" s="489" t="s">
        <v>366</v>
      </c>
      <c r="K851" s="450">
        <v>44409</v>
      </c>
      <c r="L851" s="450">
        <v>44439</v>
      </c>
      <c r="M851" s="490"/>
      <c r="N851" s="490"/>
      <c r="O851" s="493"/>
      <c r="P851" s="493"/>
      <c r="Q851" s="493"/>
      <c r="R851" s="493"/>
      <c r="S851" s="493"/>
      <c r="T851" s="493"/>
      <c r="U851" s="493"/>
      <c r="V851" s="493"/>
      <c r="W851" s="493"/>
      <c r="X851" s="493"/>
      <c r="Y851" s="493"/>
      <c r="Z851" s="493"/>
      <c r="AA851" s="493"/>
      <c r="AB851" s="493"/>
      <c r="AC851" s="493"/>
      <c r="AD851" s="493"/>
      <c r="AE851" s="493"/>
      <c r="AF851" s="493"/>
      <c r="AG851" s="493"/>
      <c r="AH851" s="493"/>
      <c r="AI851" s="493"/>
      <c r="AJ851" s="493"/>
      <c r="AK851" s="493"/>
      <c r="AL851" s="493"/>
      <c r="AM851" s="493"/>
      <c r="AN851" s="493"/>
      <c r="AO851" s="493"/>
      <c r="AP851" s="493"/>
      <c r="AQ851" s="493"/>
      <c r="AR851" s="493"/>
      <c r="AS851" s="493"/>
      <c r="AT851" s="493"/>
      <c r="AU851" s="493"/>
      <c r="AV851" s="493"/>
      <c r="AW851" s="493"/>
      <c r="AX851" s="493"/>
      <c r="AY851" s="493"/>
      <c r="AZ851" s="493"/>
      <c r="BA851" s="493"/>
      <c r="BB851" s="493"/>
      <c r="BC851" s="493"/>
      <c r="BD851" s="493"/>
      <c r="BE851" s="493"/>
      <c r="BF851" s="493"/>
      <c r="BG851" s="493"/>
      <c r="BH851" s="493"/>
      <c r="BI851" s="493"/>
      <c r="BJ851" s="493"/>
      <c r="BK851" s="493"/>
      <c r="BL851" s="493"/>
      <c r="BM851" s="493"/>
      <c r="BN851" s="493"/>
      <c r="BO851" s="493"/>
      <c r="BP851" s="493"/>
      <c r="BQ851" s="493"/>
      <c r="BR851" s="493"/>
      <c r="BS851" s="493"/>
      <c r="BT851" s="493"/>
      <c r="BU851" s="493"/>
      <c r="BV851" s="493"/>
      <c r="BW851" s="493"/>
      <c r="BX851" s="493"/>
      <c r="BY851" s="493"/>
      <c r="BZ851" s="493"/>
      <c r="CA851" s="493"/>
      <c r="CB851" s="493"/>
      <c r="CC851" s="493"/>
      <c r="CD851" s="493"/>
      <c r="CE851" s="493"/>
      <c r="CF851" s="493"/>
      <c r="CG851" s="493"/>
      <c r="CH851" s="493"/>
      <c r="CI851" s="493"/>
      <c r="CJ851" s="493"/>
      <c r="CK851" s="493"/>
      <c r="CL851" s="493"/>
      <c r="CM851" s="493"/>
      <c r="CN851" s="493"/>
      <c r="CO851" s="493"/>
      <c r="CP851" s="493"/>
      <c r="CQ851" s="493"/>
      <c r="CR851" s="493"/>
      <c r="CS851" s="493"/>
      <c r="CT851" s="493"/>
      <c r="CU851" s="493"/>
      <c r="CV851" s="493"/>
      <c r="CW851" s="493"/>
      <c r="CX851" s="493"/>
      <c r="CY851" s="493"/>
      <c r="CZ851" s="493"/>
      <c r="DA851" s="493"/>
      <c r="DB851" s="493"/>
      <c r="DC851" s="493"/>
      <c r="DD851" s="493"/>
      <c r="DE851" s="493"/>
      <c r="DF851" s="493"/>
      <c r="DG851" s="493"/>
      <c r="DH851" s="493"/>
      <c r="DI851" s="493"/>
      <c r="DJ851" s="493"/>
      <c r="DK851" s="493"/>
      <c r="DL851" s="493"/>
      <c r="DM851" s="493"/>
      <c r="DN851" s="493"/>
      <c r="DO851" s="493"/>
      <c r="DP851" s="493"/>
      <c r="DQ851" s="493"/>
      <c r="DR851" s="493"/>
      <c r="DS851" s="493"/>
      <c r="DT851" s="493"/>
      <c r="DU851" s="493"/>
      <c r="DV851" s="493"/>
      <c r="DW851" s="493"/>
      <c r="DX851" s="493"/>
      <c r="DY851" s="493"/>
      <c r="DZ851" s="493"/>
    </row>
    <row r="852" spans="1:130" hidden="1" outlineLevel="2">
      <c r="A852" s="438"/>
      <c r="B852" s="490" t="s">
        <v>300</v>
      </c>
      <c r="C852" s="398" t="s">
        <v>578</v>
      </c>
      <c r="D852" s="399" t="s">
        <v>391</v>
      </c>
      <c r="E852" s="385"/>
      <c r="F852" s="396"/>
      <c r="G852" s="385"/>
      <c r="H852" s="385" t="s">
        <v>602</v>
      </c>
      <c r="I852" s="385" t="s">
        <v>160</v>
      </c>
      <c r="J852" s="489" t="s">
        <v>366</v>
      </c>
      <c r="K852" s="412"/>
      <c r="L852" s="412"/>
      <c r="M852" s="490" t="s">
        <v>37</v>
      </c>
      <c r="N852" s="490">
        <v>1</v>
      </c>
    </row>
    <row r="853" spans="1:130" ht="40.5" hidden="1" outlineLevel="2">
      <c r="A853" s="438"/>
      <c r="B853" s="490" t="s">
        <v>300</v>
      </c>
      <c r="C853" s="398" t="s">
        <v>578</v>
      </c>
      <c r="D853" s="399" t="s">
        <v>391</v>
      </c>
      <c r="E853" s="385"/>
      <c r="F853" s="396"/>
      <c r="G853" s="385"/>
      <c r="H853" s="385" t="s">
        <v>1241</v>
      </c>
      <c r="I853" s="385" t="s">
        <v>493</v>
      </c>
      <c r="J853" s="489" t="s">
        <v>366</v>
      </c>
      <c r="K853" s="412"/>
      <c r="L853" s="412"/>
      <c r="M853" s="490" t="s">
        <v>37</v>
      </c>
      <c r="N853" s="490">
        <v>6</v>
      </c>
    </row>
    <row r="854" spans="1:130" hidden="1" outlineLevel="2">
      <c r="A854" s="438"/>
      <c r="B854" s="490"/>
      <c r="C854" s="398"/>
      <c r="D854" s="399"/>
      <c r="E854" s="385"/>
      <c r="F854" s="396"/>
      <c r="G854" s="385"/>
      <c r="H854" s="385"/>
      <c r="I854" s="385" t="s">
        <v>3379</v>
      </c>
      <c r="J854" s="489"/>
      <c r="K854" s="412"/>
      <c r="L854" s="412"/>
      <c r="M854" s="490" t="s">
        <v>37</v>
      </c>
      <c r="N854" s="490">
        <v>19</v>
      </c>
    </row>
    <row r="855" spans="1:130" s="393" customFormat="1">
      <c r="A855" s="403" t="s">
        <v>331</v>
      </c>
      <c r="B855" s="403"/>
      <c r="C855" s="403"/>
      <c r="D855" s="403"/>
      <c r="E855" s="490"/>
      <c r="F855" s="385"/>
      <c r="G855" s="385"/>
      <c r="H855" s="539" t="s">
        <v>433</v>
      </c>
      <c r="I855" s="385"/>
      <c r="J855" s="489"/>
      <c r="K855" s="412"/>
      <c r="L855" s="412"/>
      <c r="M855" s="389"/>
      <c r="N855" s="389"/>
      <c r="O855" s="377"/>
      <c r="P855" s="377"/>
      <c r="Q855" s="377"/>
      <c r="R855" s="377"/>
      <c r="S855" s="377"/>
      <c r="T855" s="377"/>
      <c r="U855" s="377"/>
      <c r="V855" s="377"/>
      <c r="W855" s="377"/>
      <c r="X855" s="377"/>
      <c r="Y855" s="377"/>
      <c r="Z855" s="377"/>
      <c r="AA855" s="377"/>
      <c r="AB855" s="377"/>
      <c r="AC855" s="377"/>
      <c r="AD855" s="377"/>
      <c r="AE855" s="377"/>
      <c r="AF855" s="377"/>
      <c r="AG855" s="377"/>
      <c r="AH855" s="377"/>
      <c r="AI855" s="377"/>
      <c r="AJ855" s="377"/>
      <c r="AK855" s="377"/>
      <c r="AL855" s="377"/>
      <c r="AM855" s="377"/>
      <c r="AN855" s="377"/>
      <c r="AO855" s="377"/>
      <c r="AP855" s="377"/>
      <c r="AQ855" s="377"/>
      <c r="AR855" s="377"/>
      <c r="AS855" s="377"/>
      <c r="AT855" s="377"/>
      <c r="AU855" s="377"/>
      <c r="AV855" s="377"/>
      <c r="AW855" s="377"/>
      <c r="AX855" s="377"/>
      <c r="AY855" s="377"/>
      <c r="AZ855" s="377"/>
      <c r="BA855" s="377"/>
      <c r="BB855" s="377"/>
      <c r="BC855" s="377"/>
      <c r="BD855" s="377"/>
      <c r="BE855" s="377"/>
      <c r="BF855" s="377"/>
      <c r="BG855" s="377"/>
      <c r="BH855" s="377"/>
      <c r="BI855" s="377"/>
      <c r="BJ855" s="377"/>
      <c r="BK855" s="377"/>
      <c r="BL855" s="377"/>
      <c r="BM855" s="377"/>
      <c r="BN855" s="377"/>
      <c r="BO855" s="377"/>
      <c r="BP855" s="377"/>
      <c r="BQ855" s="377"/>
      <c r="BR855" s="377"/>
      <c r="BS855" s="377"/>
      <c r="BT855" s="377"/>
      <c r="BU855" s="377"/>
      <c r="BV855" s="377"/>
      <c r="BW855" s="377"/>
      <c r="BX855" s="377"/>
      <c r="BY855" s="377"/>
      <c r="BZ855" s="377"/>
      <c r="CA855" s="377"/>
      <c r="CB855" s="377"/>
      <c r="CC855" s="377"/>
      <c r="CD855" s="377"/>
      <c r="CE855" s="377"/>
      <c r="CF855" s="377"/>
      <c r="CG855" s="377"/>
      <c r="CH855" s="377"/>
      <c r="CI855" s="377"/>
      <c r="CJ855" s="377"/>
      <c r="CK855" s="377"/>
      <c r="CL855" s="377"/>
      <c r="CM855" s="377"/>
      <c r="CN855" s="377"/>
      <c r="CO855" s="377"/>
      <c r="CP855" s="377"/>
      <c r="CQ855" s="377"/>
      <c r="CR855" s="377"/>
      <c r="CS855" s="377"/>
      <c r="CT855" s="377"/>
      <c r="CU855" s="377"/>
      <c r="CV855" s="377"/>
      <c r="CW855" s="377"/>
      <c r="CX855" s="377"/>
      <c r="CY855" s="377"/>
      <c r="CZ855" s="377"/>
      <c r="DA855" s="377"/>
      <c r="DB855" s="377"/>
      <c r="DC855" s="377"/>
      <c r="DD855" s="377"/>
      <c r="DE855" s="377"/>
      <c r="DF855" s="377"/>
      <c r="DG855" s="377"/>
      <c r="DH855" s="377"/>
      <c r="DI855" s="377"/>
      <c r="DJ855" s="377"/>
      <c r="DK855" s="377"/>
      <c r="DL855" s="377"/>
      <c r="DM855" s="377"/>
      <c r="DN855" s="377"/>
      <c r="DO855" s="377"/>
      <c r="DP855" s="377"/>
      <c r="DQ855" s="377"/>
      <c r="DR855" s="377"/>
      <c r="DS855" s="377"/>
      <c r="DT855" s="377"/>
      <c r="DU855" s="377"/>
      <c r="DV855" s="377"/>
      <c r="DW855" s="377"/>
      <c r="DX855" s="377"/>
      <c r="DY855" s="377"/>
      <c r="DZ855" s="377"/>
    </row>
    <row r="856" spans="1:130" s="407" customFormat="1" ht="99" customHeight="1" outlineLevel="1" collapsed="1">
      <c r="A856" s="489" t="s">
        <v>1767</v>
      </c>
      <c r="B856" s="490" t="s">
        <v>298</v>
      </c>
      <c r="C856" s="398" t="s">
        <v>408</v>
      </c>
      <c r="D856" s="399" t="s">
        <v>391</v>
      </c>
      <c r="E856" s="490" t="s">
        <v>440</v>
      </c>
      <c r="F856" s="385" t="s">
        <v>303</v>
      </c>
      <c r="G856" s="385"/>
      <c r="H856" s="401" t="s">
        <v>1824</v>
      </c>
      <c r="I856" s="385" t="str">
        <f>CONCATENATE(I857," ","(",H857,")","-",N857," ",M857," ",I858," ","(",H858,")","-",N858," ",M858," ",I859," ","(",H859,")","-",N859," ",M859," ",)</f>
        <v xml:space="preserve">Текущий ремонт ТМ (ТМ-630)-1 шт. Ремонт РУ 10-0,4 кВ (Замена проходных изоляторов - 3 шт, замена опорных изоляторов - 30 шт, замена РВС на ОПН - 3 шт,  замена рубильников - 3 шт, замена предохранителя - 3 шт., замена разъединителя - 1 шт.)-1 шт. Ремонт строительной части ТП (Покраска ТП - 64 м2, ремонт контура заземления - 1 шт)-1 шт. </v>
      </c>
      <c r="J856" s="489" t="s">
        <v>365</v>
      </c>
      <c r="K856" s="450">
        <v>44378</v>
      </c>
      <c r="L856" s="450">
        <v>44408</v>
      </c>
      <c r="M856" s="490"/>
      <c r="N856" s="490"/>
      <c r="O856" s="406"/>
      <c r="P856" s="406"/>
      <c r="Q856" s="406"/>
      <c r="R856" s="406"/>
      <c r="S856" s="406"/>
      <c r="T856" s="406"/>
      <c r="U856" s="406"/>
      <c r="V856" s="406"/>
      <c r="W856" s="406"/>
      <c r="X856" s="406"/>
      <c r="Y856" s="406"/>
      <c r="Z856" s="406"/>
      <c r="AA856" s="406"/>
      <c r="AB856" s="406"/>
      <c r="AC856" s="406"/>
      <c r="AD856" s="406"/>
      <c r="AE856" s="406"/>
      <c r="AF856" s="406"/>
      <c r="AG856" s="406"/>
      <c r="AH856" s="406"/>
      <c r="AI856" s="406"/>
      <c r="AJ856" s="406"/>
      <c r="AK856" s="406"/>
      <c r="AL856" s="406"/>
      <c r="AM856" s="406"/>
      <c r="AN856" s="406"/>
      <c r="AO856" s="406"/>
      <c r="AP856" s="406"/>
      <c r="AQ856" s="406"/>
      <c r="AR856" s="406"/>
      <c r="AS856" s="406"/>
      <c r="AT856" s="406"/>
      <c r="AU856" s="406"/>
      <c r="AV856" s="406"/>
      <c r="AW856" s="406"/>
      <c r="AX856" s="406"/>
      <c r="AY856" s="406"/>
      <c r="AZ856" s="406"/>
      <c r="BA856" s="406"/>
      <c r="BB856" s="406"/>
      <c r="BC856" s="406"/>
      <c r="BD856" s="406"/>
      <c r="BE856" s="406"/>
      <c r="BF856" s="406"/>
      <c r="BG856" s="406"/>
      <c r="BH856" s="406"/>
      <c r="BI856" s="406"/>
      <c r="BJ856" s="406"/>
      <c r="BK856" s="406"/>
      <c r="BL856" s="406"/>
      <c r="BM856" s="406"/>
      <c r="BN856" s="406"/>
      <c r="BO856" s="406"/>
      <c r="BP856" s="406"/>
      <c r="BQ856" s="406"/>
      <c r="BR856" s="406"/>
      <c r="BS856" s="406"/>
      <c r="BT856" s="406"/>
      <c r="BU856" s="406"/>
      <c r="BV856" s="406"/>
      <c r="BW856" s="406"/>
      <c r="BX856" s="406"/>
      <c r="BY856" s="406"/>
      <c r="BZ856" s="406"/>
      <c r="CA856" s="406"/>
      <c r="CB856" s="406"/>
      <c r="CC856" s="406"/>
      <c r="CD856" s="406"/>
      <c r="CE856" s="406"/>
      <c r="CF856" s="406"/>
      <c r="CG856" s="406"/>
      <c r="CH856" s="406"/>
      <c r="CI856" s="406"/>
      <c r="CJ856" s="406"/>
      <c r="CK856" s="406"/>
      <c r="CL856" s="406"/>
      <c r="CM856" s="406"/>
      <c r="CN856" s="406"/>
      <c r="CO856" s="406"/>
      <c r="CP856" s="406"/>
      <c r="CQ856" s="406"/>
      <c r="CR856" s="406"/>
      <c r="CS856" s="406"/>
      <c r="CT856" s="406"/>
      <c r="CU856" s="406"/>
      <c r="CV856" s="406"/>
      <c r="CW856" s="406"/>
      <c r="CX856" s="406"/>
      <c r="CY856" s="406"/>
      <c r="CZ856" s="406"/>
      <c r="DA856" s="406"/>
      <c r="DB856" s="406"/>
      <c r="DC856" s="406"/>
      <c r="DD856" s="406"/>
      <c r="DE856" s="406"/>
      <c r="DF856" s="406"/>
      <c r="DG856" s="406"/>
      <c r="DH856" s="406"/>
      <c r="DI856" s="406"/>
      <c r="DJ856" s="406"/>
      <c r="DK856" s="406"/>
      <c r="DL856" s="406"/>
      <c r="DM856" s="406"/>
      <c r="DN856" s="406"/>
      <c r="DO856" s="406"/>
      <c r="DP856" s="406"/>
      <c r="DQ856" s="406"/>
      <c r="DR856" s="406"/>
      <c r="DS856" s="406"/>
      <c r="DT856" s="406"/>
      <c r="DU856" s="406"/>
      <c r="DV856" s="406"/>
      <c r="DW856" s="406"/>
      <c r="DX856" s="406"/>
      <c r="DY856" s="406"/>
      <c r="DZ856" s="406"/>
    </row>
    <row r="857" spans="1:130" s="492" customFormat="1" ht="88.5" hidden="1" customHeight="1" outlineLevel="2">
      <c r="A857" s="438"/>
      <c r="B857" s="438" t="s">
        <v>298</v>
      </c>
      <c r="C857" s="438" t="s">
        <v>408</v>
      </c>
      <c r="D857" s="408" t="s">
        <v>391</v>
      </c>
      <c r="E857" s="385"/>
      <c r="F857" s="385"/>
      <c r="G857" s="385" t="s">
        <v>439</v>
      </c>
      <c r="H857" s="401" t="s">
        <v>441</v>
      </c>
      <c r="I857" s="385" t="s">
        <v>438</v>
      </c>
      <c r="J857" s="489" t="s">
        <v>366</v>
      </c>
      <c r="K857" s="412"/>
      <c r="L857" s="412"/>
      <c r="M857" s="490" t="s">
        <v>37</v>
      </c>
      <c r="N857" s="490">
        <v>1</v>
      </c>
    </row>
    <row r="858" spans="1:130" s="492" customFormat="1" ht="121.5" hidden="1" outlineLevel="2">
      <c r="A858" s="438"/>
      <c r="B858" s="438" t="s">
        <v>298</v>
      </c>
      <c r="C858" s="438" t="s">
        <v>408</v>
      </c>
      <c r="D858" s="408" t="s">
        <v>391</v>
      </c>
      <c r="E858" s="385"/>
      <c r="F858" s="385"/>
      <c r="G858" s="408"/>
      <c r="H858" s="408" t="s">
        <v>1121</v>
      </c>
      <c r="I858" s="385" t="s">
        <v>436</v>
      </c>
      <c r="J858" s="489" t="s">
        <v>365</v>
      </c>
      <c r="K858" s="412"/>
      <c r="L858" s="412"/>
      <c r="M858" s="490" t="s">
        <v>37</v>
      </c>
      <c r="N858" s="490">
        <v>1</v>
      </c>
    </row>
    <row r="859" spans="1:130" s="492" customFormat="1" ht="40.5" hidden="1" outlineLevel="2">
      <c r="A859" s="438"/>
      <c r="B859" s="438" t="s">
        <v>298</v>
      </c>
      <c r="C859" s="438" t="s">
        <v>408</v>
      </c>
      <c r="D859" s="408" t="s">
        <v>391</v>
      </c>
      <c r="E859" s="385"/>
      <c r="F859" s="385"/>
      <c r="G859" s="408"/>
      <c r="H859" s="408" t="s">
        <v>442</v>
      </c>
      <c r="I859" s="385" t="s">
        <v>435</v>
      </c>
      <c r="J859" s="489" t="s">
        <v>365</v>
      </c>
      <c r="K859" s="412"/>
      <c r="L859" s="412"/>
      <c r="M859" s="490" t="s">
        <v>37</v>
      </c>
      <c r="N859" s="490">
        <v>1</v>
      </c>
    </row>
    <row r="860" spans="1:130" s="407" customFormat="1" ht="99" customHeight="1" outlineLevel="1" collapsed="1">
      <c r="A860" s="489" t="s">
        <v>1768</v>
      </c>
      <c r="B860" s="490" t="s">
        <v>298</v>
      </c>
      <c r="C860" s="398" t="s">
        <v>408</v>
      </c>
      <c r="D860" s="399" t="s">
        <v>391</v>
      </c>
      <c r="E860" s="490" t="s">
        <v>443</v>
      </c>
      <c r="F860" s="385" t="s">
        <v>303</v>
      </c>
      <c r="G860" s="385"/>
      <c r="H860" s="401" t="s">
        <v>1825</v>
      </c>
      <c r="I860" s="385" t="str">
        <f>CONCATENATE(I861," ","(",H861,")","-",N861," ",M861," ",I862," ","(",H862,")","-",N862," ",M862," ",I863," ","(",H863,")","-",N863," ",M863," ",)</f>
        <v xml:space="preserve">Текущий ремонт ТМ (ТМ-250)-1 шт. Ремонт РУ 10-0,4 кВ (Замена проходных изоляторов - 3 шт, замена опорных изоляторов - 18 шт, замена РВС на ОПН - 3 шт,  замена рубильников - 2 шт, замена предохранителя - 3 шт., замена разъединителя - 1 шт., установка ОПН - 1 шт.)-1 шт. Ремонт строительной части ТП (Покраска ТП - 45 м2, ремонт контура заземления - 1 шт)-1 шт. </v>
      </c>
      <c r="J860" s="489" t="s">
        <v>365</v>
      </c>
      <c r="K860" s="450">
        <v>44348</v>
      </c>
      <c r="L860" s="450">
        <v>44377</v>
      </c>
      <c r="M860" s="490"/>
      <c r="N860" s="490"/>
      <c r="O860" s="406"/>
      <c r="P860" s="406"/>
      <c r="Q860" s="406"/>
      <c r="R860" s="406"/>
      <c r="S860" s="406"/>
      <c r="T860" s="406"/>
      <c r="U860" s="406"/>
      <c r="V860" s="406"/>
      <c r="W860" s="406"/>
      <c r="X860" s="406"/>
      <c r="Y860" s="406"/>
      <c r="Z860" s="406"/>
      <c r="AA860" s="406"/>
      <c r="AB860" s="406"/>
      <c r="AC860" s="406"/>
      <c r="AD860" s="406"/>
      <c r="AE860" s="406"/>
      <c r="AF860" s="406"/>
      <c r="AG860" s="406"/>
      <c r="AH860" s="406"/>
      <c r="AI860" s="406"/>
      <c r="AJ860" s="406"/>
      <c r="AK860" s="406"/>
      <c r="AL860" s="406"/>
      <c r="AM860" s="406"/>
      <c r="AN860" s="406"/>
      <c r="AO860" s="406"/>
      <c r="AP860" s="406"/>
      <c r="AQ860" s="406"/>
      <c r="AR860" s="406"/>
      <c r="AS860" s="406"/>
      <c r="AT860" s="406"/>
      <c r="AU860" s="406"/>
      <c r="AV860" s="406"/>
      <c r="AW860" s="406"/>
      <c r="AX860" s="406"/>
      <c r="AY860" s="406"/>
      <c r="AZ860" s="406"/>
      <c r="BA860" s="406"/>
      <c r="BB860" s="406"/>
      <c r="BC860" s="406"/>
      <c r="BD860" s="406"/>
      <c r="BE860" s="406"/>
      <c r="BF860" s="406"/>
      <c r="BG860" s="406"/>
      <c r="BH860" s="406"/>
      <c r="BI860" s="406"/>
      <c r="BJ860" s="406"/>
      <c r="BK860" s="406"/>
      <c r="BL860" s="406"/>
      <c r="BM860" s="406"/>
      <c r="BN860" s="406"/>
      <c r="BO860" s="406"/>
      <c r="BP860" s="406"/>
      <c r="BQ860" s="406"/>
      <c r="BR860" s="406"/>
      <c r="BS860" s="406"/>
      <c r="BT860" s="406"/>
      <c r="BU860" s="406"/>
      <c r="BV860" s="406"/>
      <c r="BW860" s="406"/>
      <c r="BX860" s="406"/>
      <c r="BY860" s="406"/>
      <c r="BZ860" s="406"/>
      <c r="CA860" s="406"/>
      <c r="CB860" s="406"/>
      <c r="CC860" s="406"/>
      <c r="CD860" s="406"/>
      <c r="CE860" s="406"/>
      <c r="CF860" s="406"/>
      <c r="CG860" s="406"/>
      <c r="CH860" s="406"/>
      <c r="CI860" s="406"/>
      <c r="CJ860" s="406"/>
      <c r="CK860" s="406"/>
      <c r="CL860" s="406"/>
      <c r="CM860" s="406"/>
      <c r="CN860" s="406"/>
      <c r="CO860" s="406"/>
      <c r="CP860" s="406"/>
      <c r="CQ860" s="406"/>
      <c r="CR860" s="406"/>
      <c r="CS860" s="406"/>
      <c r="CT860" s="406"/>
      <c r="CU860" s="406"/>
      <c r="CV860" s="406"/>
      <c r="CW860" s="406"/>
      <c r="CX860" s="406"/>
      <c r="CY860" s="406"/>
      <c r="CZ860" s="406"/>
      <c r="DA860" s="406"/>
      <c r="DB860" s="406"/>
      <c r="DC860" s="406"/>
      <c r="DD860" s="406"/>
      <c r="DE860" s="406"/>
      <c r="DF860" s="406"/>
      <c r="DG860" s="406"/>
      <c r="DH860" s="406"/>
      <c r="DI860" s="406"/>
      <c r="DJ860" s="406"/>
      <c r="DK860" s="406"/>
      <c r="DL860" s="406"/>
      <c r="DM860" s="406"/>
      <c r="DN860" s="406"/>
      <c r="DO860" s="406"/>
      <c r="DP860" s="406"/>
      <c r="DQ860" s="406"/>
      <c r="DR860" s="406"/>
      <c r="DS860" s="406"/>
      <c r="DT860" s="406"/>
      <c r="DU860" s="406"/>
      <c r="DV860" s="406"/>
      <c r="DW860" s="406"/>
      <c r="DX860" s="406"/>
      <c r="DY860" s="406"/>
      <c r="DZ860" s="406"/>
    </row>
    <row r="861" spans="1:130" s="492" customFormat="1" ht="88.5" hidden="1" customHeight="1" outlineLevel="2">
      <c r="A861" s="438"/>
      <c r="B861" s="438" t="s">
        <v>298</v>
      </c>
      <c r="C861" s="438" t="s">
        <v>408</v>
      </c>
      <c r="D861" s="408" t="s">
        <v>391</v>
      </c>
      <c r="E861" s="385"/>
      <c r="F861" s="385"/>
      <c r="G861" s="385" t="s">
        <v>439</v>
      </c>
      <c r="H861" s="401" t="s">
        <v>434</v>
      </c>
      <c r="I861" s="385" t="s">
        <v>438</v>
      </c>
      <c r="J861" s="489" t="s">
        <v>366</v>
      </c>
      <c r="K861" s="412"/>
      <c r="L861" s="412"/>
      <c r="M861" s="490" t="s">
        <v>37</v>
      </c>
      <c r="N861" s="490">
        <v>1</v>
      </c>
    </row>
    <row r="862" spans="1:130" s="492" customFormat="1" ht="141.75" hidden="1" outlineLevel="2">
      <c r="A862" s="438"/>
      <c r="B862" s="438" t="s">
        <v>298</v>
      </c>
      <c r="C862" s="438" t="s">
        <v>408</v>
      </c>
      <c r="D862" s="408" t="s">
        <v>391</v>
      </c>
      <c r="E862" s="385"/>
      <c r="F862" s="385"/>
      <c r="G862" s="408"/>
      <c r="H862" s="408" t="s">
        <v>1122</v>
      </c>
      <c r="I862" s="385" t="s">
        <v>436</v>
      </c>
      <c r="J862" s="489" t="s">
        <v>365</v>
      </c>
      <c r="K862" s="412"/>
      <c r="L862" s="412"/>
      <c r="M862" s="490" t="s">
        <v>37</v>
      </c>
      <c r="N862" s="490">
        <v>1</v>
      </c>
    </row>
    <row r="863" spans="1:130" s="492" customFormat="1" ht="40.5" hidden="1" outlineLevel="2">
      <c r="A863" s="438"/>
      <c r="B863" s="438" t="s">
        <v>298</v>
      </c>
      <c r="C863" s="438" t="s">
        <v>408</v>
      </c>
      <c r="D863" s="408" t="s">
        <v>391</v>
      </c>
      <c r="E863" s="385"/>
      <c r="F863" s="385"/>
      <c r="G863" s="408"/>
      <c r="H863" s="408" t="s">
        <v>437</v>
      </c>
      <c r="I863" s="385" t="s">
        <v>435</v>
      </c>
      <c r="J863" s="489" t="s">
        <v>365</v>
      </c>
      <c r="K863" s="412"/>
      <c r="L863" s="412"/>
      <c r="M863" s="490" t="s">
        <v>37</v>
      </c>
      <c r="N863" s="490">
        <v>1</v>
      </c>
    </row>
    <row r="864" spans="1:130" s="407" customFormat="1" ht="99" customHeight="1" outlineLevel="1" collapsed="1">
      <c r="A864" s="489" t="s">
        <v>1403</v>
      </c>
      <c r="B864" s="490" t="s">
        <v>298</v>
      </c>
      <c r="C864" s="398" t="s">
        <v>408</v>
      </c>
      <c r="D864" s="399" t="s">
        <v>391</v>
      </c>
      <c r="E864" s="490" t="s">
        <v>444</v>
      </c>
      <c r="F864" s="385" t="s">
        <v>303</v>
      </c>
      <c r="G864" s="385"/>
      <c r="H864" s="401" t="s">
        <v>1826</v>
      </c>
      <c r="I864" s="385" t="str">
        <f>CONCATENATE(I865," ","(",H865,")","-",N865," ",M865," ",I866," ","(",H866,")","-",N866," ",M866," ",I867," ","(",H867,")","-",N867," ",M867," ",)</f>
        <v xml:space="preserve">Текущий ремонт ТМ (ТМ-63)-1 шт. Ремонт РУ 10-0,4 кВ (Замена опорных изоляторов - 3 шт, замена РВС на ОПН - 3 шт,  замена автоматического выключатели - 3 шт, замена предохранителя - 3 шт., замена ОПН 0,4 - 3 шт.)-1 шт. Ремонт строительной части ТП (Покраска ТП - 25 м2, ремонт контура заземления - 1 шт)-1 шт. </v>
      </c>
      <c r="J864" s="489" t="s">
        <v>365</v>
      </c>
      <c r="K864" s="450">
        <v>44378</v>
      </c>
      <c r="L864" s="450">
        <v>44408</v>
      </c>
      <c r="M864" s="490"/>
      <c r="N864" s="490"/>
      <c r="O864" s="406"/>
      <c r="P864" s="406"/>
      <c r="Q864" s="406"/>
      <c r="R864" s="406"/>
      <c r="S864" s="406"/>
      <c r="T864" s="406"/>
      <c r="U864" s="406"/>
      <c r="V864" s="406"/>
      <c r="W864" s="406"/>
      <c r="X864" s="406"/>
      <c r="Y864" s="406"/>
      <c r="Z864" s="406"/>
      <c r="AA864" s="406"/>
      <c r="AB864" s="406"/>
      <c r="AC864" s="406"/>
      <c r="AD864" s="406"/>
      <c r="AE864" s="406"/>
      <c r="AF864" s="406"/>
      <c r="AG864" s="406"/>
      <c r="AH864" s="406"/>
      <c r="AI864" s="406"/>
      <c r="AJ864" s="406"/>
      <c r="AK864" s="406"/>
      <c r="AL864" s="406"/>
      <c r="AM864" s="406"/>
      <c r="AN864" s="406"/>
      <c r="AO864" s="406"/>
      <c r="AP864" s="406"/>
      <c r="AQ864" s="406"/>
      <c r="AR864" s="406"/>
      <c r="AS864" s="406"/>
      <c r="AT864" s="406"/>
      <c r="AU864" s="406"/>
      <c r="AV864" s="406"/>
      <c r="AW864" s="406"/>
      <c r="AX864" s="406"/>
      <c r="AY864" s="406"/>
      <c r="AZ864" s="406"/>
      <c r="BA864" s="406"/>
      <c r="BB864" s="406"/>
      <c r="BC864" s="406"/>
      <c r="BD864" s="406"/>
      <c r="BE864" s="406"/>
      <c r="BF864" s="406"/>
      <c r="BG864" s="406"/>
      <c r="BH864" s="406"/>
      <c r="BI864" s="406"/>
      <c r="BJ864" s="406"/>
      <c r="BK864" s="406"/>
      <c r="BL864" s="406"/>
      <c r="BM864" s="406"/>
      <c r="BN864" s="406"/>
      <c r="BO864" s="406"/>
      <c r="BP864" s="406"/>
      <c r="BQ864" s="406"/>
      <c r="BR864" s="406"/>
      <c r="BS864" s="406"/>
      <c r="BT864" s="406"/>
      <c r="BU864" s="406"/>
      <c r="BV864" s="406"/>
      <c r="BW864" s="406"/>
      <c r="BX864" s="406"/>
      <c r="BY864" s="406"/>
      <c r="BZ864" s="406"/>
      <c r="CA864" s="406"/>
      <c r="CB864" s="406"/>
      <c r="CC864" s="406"/>
      <c r="CD864" s="406"/>
      <c r="CE864" s="406"/>
      <c r="CF864" s="406"/>
      <c r="CG864" s="406"/>
      <c r="CH864" s="406"/>
      <c r="CI864" s="406"/>
      <c r="CJ864" s="406"/>
      <c r="CK864" s="406"/>
      <c r="CL864" s="406"/>
      <c r="CM864" s="406"/>
      <c r="CN864" s="406"/>
      <c r="CO864" s="406"/>
      <c r="CP864" s="406"/>
      <c r="CQ864" s="406"/>
      <c r="CR864" s="406"/>
      <c r="CS864" s="406"/>
      <c r="CT864" s="406"/>
      <c r="CU864" s="406"/>
      <c r="CV864" s="406"/>
      <c r="CW864" s="406"/>
      <c r="CX864" s="406"/>
      <c r="CY864" s="406"/>
      <c r="CZ864" s="406"/>
      <c r="DA864" s="406"/>
      <c r="DB864" s="406"/>
      <c r="DC864" s="406"/>
      <c r="DD864" s="406"/>
      <c r="DE864" s="406"/>
      <c r="DF864" s="406"/>
      <c r="DG864" s="406"/>
      <c r="DH864" s="406"/>
      <c r="DI864" s="406"/>
      <c r="DJ864" s="406"/>
      <c r="DK864" s="406"/>
      <c r="DL864" s="406"/>
      <c r="DM864" s="406"/>
      <c r="DN864" s="406"/>
      <c r="DO864" s="406"/>
      <c r="DP864" s="406"/>
      <c r="DQ864" s="406"/>
      <c r="DR864" s="406"/>
      <c r="DS864" s="406"/>
      <c r="DT864" s="406"/>
      <c r="DU864" s="406"/>
      <c r="DV864" s="406"/>
      <c r="DW864" s="406"/>
      <c r="DX864" s="406"/>
      <c r="DY864" s="406"/>
      <c r="DZ864" s="406"/>
    </row>
    <row r="865" spans="1:130" s="492" customFormat="1" ht="88.5" hidden="1" customHeight="1" outlineLevel="2">
      <c r="A865" s="438"/>
      <c r="B865" s="438" t="s">
        <v>298</v>
      </c>
      <c r="C865" s="438" t="s">
        <v>408</v>
      </c>
      <c r="D865" s="408" t="s">
        <v>391</v>
      </c>
      <c r="E865" s="385"/>
      <c r="F865" s="385"/>
      <c r="G865" s="385" t="s">
        <v>439</v>
      </c>
      <c r="H865" s="401" t="s">
        <v>445</v>
      </c>
      <c r="I865" s="385" t="s">
        <v>438</v>
      </c>
      <c r="J865" s="489" t="s">
        <v>366</v>
      </c>
      <c r="K865" s="412"/>
      <c r="L865" s="412"/>
      <c r="M865" s="490" t="s">
        <v>37</v>
      </c>
      <c r="N865" s="490">
        <v>1</v>
      </c>
    </row>
    <row r="866" spans="1:130" s="492" customFormat="1" ht="101.25" hidden="1" outlineLevel="2">
      <c r="A866" s="438"/>
      <c r="B866" s="438" t="s">
        <v>298</v>
      </c>
      <c r="C866" s="438" t="s">
        <v>408</v>
      </c>
      <c r="D866" s="408" t="s">
        <v>391</v>
      </c>
      <c r="E866" s="385"/>
      <c r="F866" s="385"/>
      <c r="G866" s="408"/>
      <c r="H866" s="408" t="s">
        <v>1123</v>
      </c>
      <c r="I866" s="385" t="s">
        <v>436</v>
      </c>
      <c r="J866" s="489" t="s">
        <v>365</v>
      </c>
      <c r="K866" s="412"/>
      <c r="L866" s="412"/>
      <c r="M866" s="490" t="s">
        <v>37</v>
      </c>
      <c r="N866" s="490">
        <v>1</v>
      </c>
    </row>
    <row r="867" spans="1:130" s="492" customFormat="1" ht="40.5" hidden="1" outlineLevel="2">
      <c r="A867" s="438"/>
      <c r="B867" s="438" t="s">
        <v>298</v>
      </c>
      <c r="C867" s="438" t="s">
        <v>408</v>
      </c>
      <c r="D867" s="408" t="s">
        <v>391</v>
      </c>
      <c r="E867" s="385"/>
      <c r="F867" s="385"/>
      <c r="G867" s="408"/>
      <c r="H867" s="408" t="s">
        <v>446</v>
      </c>
      <c r="I867" s="385" t="s">
        <v>435</v>
      </c>
      <c r="J867" s="489" t="s">
        <v>365</v>
      </c>
      <c r="K867" s="412"/>
      <c r="L867" s="412"/>
      <c r="M867" s="490" t="s">
        <v>37</v>
      </c>
      <c r="N867" s="490">
        <v>1</v>
      </c>
    </row>
    <row r="868" spans="1:130" s="407" customFormat="1" ht="99" customHeight="1" outlineLevel="1" collapsed="1">
      <c r="A868" s="489" t="s">
        <v>1404</v>
      </c>
      <c r="B868" s="490" t="s">
        <v>298</v>
      </c>
      <c r="C868" s="398" t="s">
        <v>408</v>
      </c>
      <c r="D868" s="399" t="s">
        <v>391</v>
      </c>
      <c r="E868" s="490" t="s">
        <v>455</v>
      </c>
      <c r="F868" s="385" t="s">
        <v>303</v>
      </c>
      <c r="G868" s="385"/>
      <c r="H868" s="401" t="s">
        <v>448</v>
      </c>
      <c r="I868" s="385" t="str">
        <f>CONCATENATE(I869," ","(",H869,")","-",N869," ",M869," ",I870," ","(",H870,")","-",N870," ",M870," ",I871," ","(",H871,")","-",N871," ",M871," ",)</f>
        <v xml:space="preserve">Текущий ремонт ТМ (ТМ-400)-1 шт. Ремонт РУ 10-0,4 кВ (Замена проходных изоляторов - 6 шт, замена РВС на ОПН - 3 шт,  замена рубильника на автоматический выключатель - 4 шт, установка ОПН 0,4 - 3 шт, ТР разъединителя - 1шт.)-1 шт. Ремонт строительной части ТП (Покраска ТП - 60 м2, ремонт контура заземления - 1 шт)-1 шт. </v>
      </c>
      <c r="J868" s="489" t="s">
        <v>365</v>
      </c>
      <c r="K868" s="450">
        <v>44409</v>
      </c>
      <c r="L868" s="450">
        <v>44439</v>
      </c>
      <c r="M868" s="490"/>
      <c r="N868" s="490"/>
      <c r="O868" s="406"/>
      <c r="P868" s="406"/>
      <c r="Q868" s="406"/>
      <c r="R868" s="406"/>
      <c r="S868" s="406"/>
      <c r="T868" s="406"/>
      <c r="U868" s="406"/>
      <c r="V868" s="406"/>
      <c r="W868" s="406"/>
      <c r="X868" s="406"/>
      <c r="Y868" s="406"/>
      <c r="Z868" s="406"/>
      <c r="AA868" s="406"/>
      <c r="AB868" s="406"/>
      <c r="AC868" s="406"/>
      <c r="AD868" s="406"/>
      <c r="AE868" s="406"/>
      <c r="AF868" s="406"/>
      <c r="AG868" s="406"/>
      <c r="AH868" s="406"/>
      <c r="AI868" s="406"/>
      <c r="AJ868" s="406"/>
      <c r="AK868" s="406"/>
      <c r="AL868" s="406"/>
      <c r="AM868" s="406"/>
      <c r="AN868" s="406"/>
      <c r="AO868" s="406"/>
      <c r="AP868" s="406"/>
      <c r="AQ868" s="406"/>
      <c r="AR868" s="406"/>
      <c r="AS868" s="406"/>
      <c r="AT868" s="406"/>
      <c r="AU868" s="406"/>
      <c r="AV868" s="406"/>
      <c r="AW868" s="406"/>
      <c r="AX868" s="406"/>
      <c r="AY868" s="406"/>
      <c r="AZ868" s="406"/>
      <c r="BA868" s="406"/>
      <c r="BB868" s="406"/>
      <c r="BC868" s="406"/>
      <c r="BD868" s="406"/>
      <c r="BE868" s="406"/>
      <c r="BF868" s="406"/>
      <c r="BG868" s="406"/>
      <c r="BH868" s="406"/>
      <c r="BI868" s="406"/>
      <c r="BJ868" s="406"/>
      <c r="BK868" s="406"/>
      <c r="BL868" s="406"/>
      <c r="BM868" s="406"/>
      <c r="BN868" s="406"/>
      <c r="BO868" s="406"/>
      <c r="BP868" s="406"/>
      <c r="BQ868" s="406"/>
      <c r="BR868" s="406"/>
      <c r="BS868" s="406"/>
      <c r="BT868" s="406"/>
      <c r="BU868" s="406"/>
      <c r="BV868" s="406"/>
      <c r="BW868" s="406"/>
      <c r="BX868" s="406"/>
      <c r="BY868" s="406"/>
      <c r="BZ868" s="406"/>
      <c r="CA868" s="406"/>
      <c r="CB868" s="406"/>
      <c r="CC868" s="406"/>
      <c r="CD868" s="406"/>
      <c r="CE868" s="406"/>
      <c r="CF868" s="406"/>
      <c r="CG868" s="406"/>
      <c r="CH868" s="406"/>
      <c r="CI868" s="406"/>
      <c r="CJ868" s="406"/>
      <c r="CK868" s="406"/>
      <c r="CL868" s="406"/>
      <c r="CM868" s="406"/>
      <c r="CN868" s="406"/>
      <c r="CO868" s="406"/>
      <c r="CP868" s="406"/>
      <c r="CQ868" s="406"/>
      <c r="CR868" s="406"/>
      <c r="CS868" s="406"/>
      <c r="CT868" s="406"/>
      <c r="CU868" s="406"/>
      <c r="CV868" s="406"/>
      <c r="CW868" s="406"/>
      <c r="CX868" s="406"/>
      <c r="CY868" s="406"/>
      <c r="CZ868" s="406"/>
      <c r="DA868" s="406"/>
      <c r="DB868" s="406"/>
      <c r="DC868" s="406"/>
      <c r="DD868" s="406"/>
      <c r="DE868" s="406"/>
      <c r="DF868" s="406"/>
      <c r="DG868" s="406"/>
      <c r="DH868" s="406"/>
      <c r="DI868" s="406"/>
      <c r="DJ868" s="406"/>
      <c r="DK868" s="406"/>
      <c r="DL868" s="406"/>
      <c r="DM868" s="406"/>
      <c r="DN868" s="406"/>
      <c r="DO868" s="406"/>
      <c r="DP868" s="406"/>
      <c r="DQ868" s="406"/>
      <c r="DR868" s="406"/>
      <c r="DS868" s="406"/>
      <c r="DT868" s="406"/>
      <c r="DU868" s="406"/>
      <c r="DV868" s="406"/>
      <c r="DW868" s="406"/>
      <c r="DX868" s="406"/>
      <c r="DY868" s="406"/>
      <c r="DZ868" s="406"/>
    </row>
    <row r="869" spans="1:130" s="492" customFormat="1" ht="88.5" hidden="1" customHeight="1" outlineLevel="2">
      <c r="A869" s="438"/>
      <c r="B869" s="438" t="s">
        <v>298</v>
      </c>
      <c r="C869" s="438" t="s">
        <v>408</v>
      </c>
      <c r="D869" s="408" t="s">
        <v>391</v>
      </c>
      <c r="E869" s="385"/>
      <c r="F869" s="385"/>
      <c r="G869" s="385" t="s">
        <v>439</v>
      </c>
      <c r="H869" s="401" t="s">
        <v>447</v>
      </c>
      <c r="I869" s="385" t="s">
        <v>438</v>
      </c>
      <c r="J869" s="489" t="s">
        <v>366</v>
      </c>
      <c r="K869" s="412"/>
      <c r="L869" s="412"/>
      <c r="M869" s="490" t="s">
        <v>37</v>
      </c>
      <c r="N869" s="490">
        <v>1</v>
      </c>
    </row>
    <row r="870" spans="1:130" s="492" customFormat="1" ht="101.25" hidden="1" outlineLevel="2">
      <c r="A870" s="438"/>
      <c r="B870" s="438" t="s">
        <v>298</v>
      </c>
      <c r="C870" s="438" t="s">
        <v>408</v>
      </c>
      <c r="D870" s="408" t="s">
        <v>391</v>
      </c>
      <c r="E870" s="385"/>
      <c r="F870" s="385"/>
      <c r="G870" s="408"/>
      <c r="H870" s="408" t="s">
        <v>1683</v>
      </c>
      <c r="I870" s="385" t="s">
        <v>436</v>
      </c>
      <c r="J870" s="489" t="s">
        <v>365</v>
      </c>
      <c r="K870" s="412"/>
      <c r="L870" s="412"/>
      <c r="M870" s="490" t="s">
        <v>37</v>
      </c>
      <c r="N870" s="490">
        <v>1</v>
      </c>
    </row>
    <row r="871" spans="1:130" s="492" customFormat="1" ht="40.5" hidden="1" outlineLevel="2">
      <c r="A871" s="438"/>
      <c r="B871" s="438" t="s">
        <v>298</v>
      </c>
      <c r="C871" s="438" t="s">
        <v>408</v>
      </c>
      <c r="D871" s="408" t="s">
        <v>391</v>
      </c>
      <c r="E871" s="385"/>
      <c r="F871" s="385"/>
      <c r="G871" s="408"/>
      <c r="H871" s="408" t="s">
        <v>449</v>
      </c>
      <c r="I871" s="385" t="s">
        <v>435</v>
      </c>
      <c r="J871" s="489" t="s">
        <v>365</v>
      </c>
      <c r="K871" s="412"/>
      <c r="L871" s="412"/>
      <c r="M871" s="490" t="s">
        <v>37</v>
      </c>
      <c r="N871" s="490">
        <v>1</v>
      </c>
    </row>
    <row r="872" spans="1:130" s="407" customFormat="1" ht="60.75" outlineLevel="1" collapsed="1">
      <c r="A872" s="489" t="s">
        <v>1769</v>
      </c>
      <c r="B872" s="490" t="s">
        <v>298</v>
      </c>
      <c r="C872" s="398" t="s">
        <v>408</v>
      </c>
      <c r="D872" s="399" t="s">
        <v>391</v>
      </c>
      <c r="E872" s="490" t="s">
        <v>454</v>
      </c>
      <c r="F872" s="385" t="s">
        <v>303</v>
      </c>
      <c r="G872" s="385"/>
      <c r="H872" s="401" t="s">
        <v>450</v>
      </c>
      <c r="I872" s="385" t="str">
        <f>CONCATENATE(I873," ","(",H873,")","-",N873," ",M873," ",I874," ","(",H874,")","-",N874," ",M874," ",I875," ","(",H875,")","-",N875," ",M875," ",)</f>
        <v xml:space="preserve">Текущий ремонт ТМ (ТМ-160)-1 шт. Ремонт РУ 10-0,4 кВ (Установка ОПН 0,4 - 3 шт.)-1 шт. Ремонт строительной части ТП (Покраска ТП - 40 м2)-1 шт. </v>
      </c>
      <c r="J872" s="489" t="s">
        <v>365</v>
      </c>
      <c r="K872" s="450">
        <v>44317</v>
      </c>
      <c r="L872" s="450">
        <v>44347</v>
      </c>
      <c r="M872" s="490"/>
      <c r="N872" s="490"/>
      <c r="O872" s="406"/>
      <c r="P872" s="406"/>
      <c r="Q872" s="406"/>
      <c r="R872" s="406"/>
      <c r="S872" s="406"/>
      <c r="T872" s="406"/>
      <c r="U872" s="406"/>
      <c r="V872" s="406"/>
      <c r="W872" s="406"/>
      <c r="X872" s="406"/>
      <c r="Y872" s="406"/>
      <c r="Z872" s="406"/>
      <c r="AA872" s="406"/>
      <c r="AB872" s="406"/>
      <c r="AC872" s="406"/>
      <c r="AD872" s="406"/>
      <c r="AE872" s="406"/>
      <c r="AF872" s="406"/>
      <c r="AG872" s="406"/>
      <c r="AH872" s="406"/>
      <c r="AI872" s="406"/>
      <c r="AJ872" s="406"/>
      <c r="AK872" s="406"/>
      <c r="AL872" s="406"/>
      <c r="AM872" s="406"/>
      <c r="AN872" s="406"/>
      <c r="AO872" s="406"/>
      <c r="AP872" s="406"/>
      <c r="AQ872" s="406"/>
      <c r="AR872" s="406"/>
      <c r="AS872" s="406"/>
      <c r="AT872" s="406"/>
      <c r="AU872" s="406"/>
      <c r="AV872" s="406"/>
      <c r="AW872" s="406"/>
      <c r="AX872" s="406"/>
      <c r="AY872" s="406"/>
      <c r="AZ872" s="406"/>
      <c r="BA872" s="406"/>
      <c r="BB872" s="406"/>
      <c r="BC872" s="406"/>
      <c r="BD872" s="406"/>
      <c r="BE872" s="406"/>
      <c r="BF872" s="406"/>
      <c r="BG872" s="406"/>
      <c r="BH872" s="406"/>
      <c r="BI872" s="406"/>
      <c r="BJ872" s="406"/>
      <c r="BK872" s="406"/>
      <c r="BL872" s="406"/>
      <c r="BM872" s="406"/>
      <c r="BN872" s="406"/>
      <c r="BO872" s="406"/>
      <c r="BP872" s="406"/>
      <c r="BQ872" s="406"/>
      <c r="BR872" s="406"/>
      <c r="BS872" s="406"/>
      <c r="BT872" s="406"/>
      <c r="BU872" s="406"/>
      <c r="BV872" s="406"/>
      <c r="BW872" s="406"/>
      <c r="BX872" s="406"/>
      <c r="BY872" s="406"/>
      <c r="BZ872" s="406"/>
      <c r="CA872" s="406"/>
      <c r="CB872" s="406"/>
      <c r="CC872" s="406"/>
      <c r="CD872" s="406"/>
      <c r="CE872" s="406"/>
      <c r="CF872" s="406"/>
      <c r="CG872" s="406"/>
      <c r="CH872" s="406"/>
      <c r="CI872" s="406"/>
      <c r="CJ872" s="406"/>
      <c r="CK872" s="406"/>
      <c r="CL872" s="406"/>
      <c r="CM872" s="406"/>
      <c r="CN872" s="406"/>
      <c r="CO872" s="406"/>
      <c r="CP872" s="406"/>
      <c r="CQ872" s="406"/>
      <c r="CR872" s="406"/>
      <c r="CS872" s="406"/>
      <c r="CT872" s="406"/>
      <c r="CU872" s="406"/>
      <c r="CV872" s="406"/>
      <c r="CW872" s="406"/>
      <c r="CX872" s="406"/>
      <c r="CY872" s="406"/>
      <c r="CZ872" s="406"/>
      <c r="DA872" s="406"/>
      <c r="DB872" s="406"/>
      <c r="DC872" s="406"/>
      <c r="DD872" s="406"/>
      <c r="DE872" s="406"/>
      <c r="DF872" s="406"/>
      <c r="DG872" s="406"/>
      <c r="DH872" s="406"/>
      <c r="DI872" s="406"/>
      <c r="DJ872" s="406"/>
      <c r="DK872" s="406"/>
      <c r="DL872" s="406"/>
      <c r="DM872" s="406"/>
      <c r="DN872" s="406"/>
      <c r="DO872" s="406"/>
      <c r="DP872" s="406"/>
      <c r="DQ872" s="406"/>
      <c r="DR872" s="406"/>
      <c r="DS872" s="406"/>
      <c r="DT872" s="406"/>
      <c r="DU872" s="406"/>
      <c r="DV872" s="406"/>
      <c r="DW872" s="406"/>
      <c r="DX872" s="406"/>
      <c r="DY872" s="406"/>
      <c r="DZ872" s="406"/>
    </row>
    <row r="873" spans="1:130" s="492" customFormat="1" ht="88.5" hidden="1" customHeight="1" outlineLevel="2">
      <c r="A873" s="438"/>
      <c r="B873" s="438" t="s">
        <v>298</v>
      </c>
      <c r="C873" s="438" t="s">
        <v>408</v>
      </c>
      <c r="D873" s="408" t="s">
        <v>391</v>
      </c>
      <c r="E873" s="385"/>
      <c r="F873" s="385"/>
      <c r="G873" s="385" t="s">
        <v>439</v>
      </c>
      <c r="H873" s="401" t="s">
        <v>332</v>
      </c>
      <c r="I873" s="385" t="s">
        <v>438</v>
      </c>
      <c r="J873" s="489" t="s">
        <v>366</v>
      </c>
      <c r="K873" s="412"/>
      <c r="L873" s="412"/>
      <c r="M873" s="490" t="s">
        <v>37</v>
      </c>
      <c r="N873" s="490">
        <v>1</v>
      </c>
    </row>
    <row r="874" spans="1:130" s="492" customFormat="1" hidden="1" outlineLevel="2">
      <c r="A874" s="438"/>
      <c r="B874" s="438" t="s">
        <v>298</v>
      </c>
      <c r="C874" s="438" t="s">
        <v>408</v>
      </c>
      <c r="D874" s="408" t="s">
        <v>391</v>
      </c>
      <c r="E874" s="385"/>
      <c r="F874" s="385"/>
      <c r="G874" s="408"/>
      <c r="H874" s="408" t="s">
        <v>453</v>
      </c>
      <c r="I874" s="385" t="s">
        <v>436</v>
      </c>
      <c r="J874" s="489" t="s">
        <v>365</v>
      </c>
      <c r="K874" s="412"/>
      <c r="L874" s="412"/>
      <c r="M874" s="490" t="s">
        <v>37</v>
      </c>
      <c r="N874" s="490">
        <v>1</v>
      </c>
    </row>
    <row r="875" spans="1:130" s="492" customFormat="1" hidden="1" outlineLevel="2">
      <c r="A875" s="438"/>
      <c r="B875" s="438" t="s">
        <v>298</v>
      </c>
      <c r="C875" s="438" t="s">
        <v>408</v>
      </c>
      <c r="D875" s="408" t="s">
        <v>391</v>
      </c>
      <c r="E875" s="385"/>
      <c r="F875" s="385"/>
      <c r="G875" s="408"/>
      <c r="H875" s="408" t="s">
        <v>452</v>
      </c>
      <c r="I875" s="385" t="s">
        <v>435</v>
      </c>
      <c r="J875" s="489" t="s">
        <v>365</v>
      </c>
      <c r="K875" s="412"/>
      <c r="L875" s="412"/>
      <c r="M875" s="490" t="s">
        <v>37</v>
      </c>
      <c r="N875" s="490">
        <v>1</v>
      </c>
    </row>
    <row r="876" spans="1:130" s="407" customFormat="1" ht="75.75" customHeight="1" outlineLevel="1" collapsed="1">
      <c r="A876" s="489" t="s">
        <v>1405</v>
      </c>
      <c r="B876" s="490" t="s">
        <v>298</v>
      </c>
      <c r="C876" s="398" t="s">
        <v>408</v>
      </c>
      <c r="D876" s="399" t="s">
        <v>391</v>
      </c>
      <c r="E876" s="490" t="s">
        <v>454</v>
      </c>
      <c r="F876" s="385" t="s">
        <v>303</v>
      </c>
      <c r="G876" s="385"/>
      <c r="H876" s="401" t="s">
        <v>456</v>
      </c>
      <c r="I876" s="385" t="str">
        <f>CONCATENATE(I877," ","(",H877,")","-",N877," ",M877," ",I878," ","(",H878,")","-",N878," ",M878," ",I879," ","(",H879,")","-",N879," ",M879," ",)</f>
        <v xml:space="preserve">Текущий ремонт ТМ (ТМ-400)-1 шт. Ремонт РУ 10-0,4 кВ (Установка ОПН 0,4 - 3 шт.)-1 шт. Ремонт строительной части ТП (Покраска ТП - 40 м2, ремонт контура заземления - 1 шт)-1 шт. </v>
      </c>
      <c r="J876" s="489" t="s">
        <v>365</v>
      </c>
      <c r="K876" s="450">
        <v>44378</v>
      </c>
      <c r="L876" s="450">
        <v>44408</v>
      </c>
      <c r="M876" s="490"/>
      <c r="N876" s="490"/>
      <c r="O876" s="406"/>
      <c r="P876" s="406"/>
      <c r="Q876" s="406"/>
      <c r="R876" s="406"/>
      <c r="S876" s="406"/>
      <c r="T876" s="406"/>
      <c r="U876" s="406"/>
      <c r="V876" s="406"/>
      <c r="W876" s="406"/>
      <c r="X876" s="406"/>
      <c r="Y876" s="406"/>
      <c r="Z876" s="406"/>
      <c r="AA876" s="406"/>
      <c r="AB876" s="406"/>
      <c r="AC876" s="406"/>
      <c r="AD876" s="406"/>
      <c r="AE876" s="406"/>
      <c r="AF876" s="406"/>
      <c r="AG876" s="406"/>
      <c r="AH876" s="406"/>
      <c r="AI876" s="406"/>
      <c r="AJ876" s="406"/>
      <c r="AK876" s="406"/>
      <c r="AL876" s="406"/>
      <c r="AM876" s="406"/>
      <c r="AN876" s="406"/>
      <c r="AO876" s="406"/>
      <c r="AP876" s="406"/>
      <c r="AQ876" s="406"/>
      <c r="AR876" s="406"/>
      <c r="AS876" s="406"/>
      <c r="AT876" s="406"/>
      <c r="AU876" s="406"/>
      <c r="AV876" s="406"/>
      <c r="AW876" s="406"/>
      <c r="AX876" s="406"/>
      <c r="AY876" s="406"/>
      <c r="AZ876" s="406"/>
      <c r="BA876" s="406"/>
      <c r="BB876" s="406"/>
      <c r="BC876" s="406"/>
      <c r="BD876" s="406"/>
      <c r="BE876" s="406"/>
      <c r="BF876" s="406"/>
      <c r="BG876" s="406"/>
      <c r="BH876" s="406"/>
      <c r="BI876" s="406"/>
      <c r="BJ876" s="406"/>
      <c r="BK876" s="406"/>
      <c r="BL876" s="406"/>
      <c r="BM876" s="406"/>
      <c r="BN876" s="406"/>
      <c r="BO876" s="406"/>
      <c r="BP876" s="406"/>
      <c r="BQ876" s="406"/>
      <c r="BR876" s="406"/>
      <c r="BS876" s="406"/>
      <c r="BT876" s="406"/>
      <c r="BU876" s="406"/>
      <c r="BV876" s="406"/>
      <c r="BW876" s="406"/>
      <c r="BX876" s="406"/>
      <c r="BY876" s="406"/>
      <c r="BZ876" s="406"/>
      <c r="CA876" s="406"/>
      <c r="CB876" s="406"/>
      <c r="CC876" s="406"/>
      <c r="CD876" s="406"/>
      <c r="CE876" s="406"/>
      <c r="CF876" s="406"/>
      <c r="CG876" s="406"/>
      <c r="CH876" s="406"/>
      <c r="CI876" s="406"/>
      <c r="CJ876" s="406"/>
      <c r="CK876" s="406"/>
      <c r="CL876" s="406"/>
      <c r="CM876" s="406"/>
      <c r="CN876" s="406"/>
      <c r="CO876" s="406"/>
      <c r="CP876" s="406"/>
      <c r="CQ876" s="406"/>
      <c r="CR876" s="406"/>
      <c r="CS876" s="406"/>
      <c r="CT876" s="406"/>
      <c r="CU876" s="406"/>
      <c r="CV876" s="406"/>
      <c r="CW876" s="406"/>
      <c r="CX876" s="406"/>
      <c r="CY876" s="406"/>
      <c r="CZ876" s="406"/>
      <c r="DA876" s="406"/>
      <c r="DB876" s="406"/>
      <c r="DC876" s="406"/>
      <c r="DD876" s="406"/>
      <c r="DE876" s="406"/>
      <c r="DF876" s="406"/>
      <c r="DG876" s="406"/>
      <c r="DH876" s="406"/>
      <c r="DI876" s="406"/>
      <c r="DJ876" s="406"/>
      <c r="DK876" s="406"/>
      <c r="DL876" s="406"/>
      <c r="DM876" s="406"/>
      <c r="DN876" s="406"/>
      <c r="DO876" s="406"/>
      <c r="DP876" s="406"/>
      <c r="DQ876" s="406"/>
      <c r="DR876" s="406"/>
      <c r="DS876" s="406"/>
      <c r="DT876" s="406"/>
      <c r="DU876" s="406"/>
      <c r="DV876" s="406"/>
      <c r="DW876" s="406"/>
      <c r="DX876" s="406"/>
      <c r="DY876" s="406"/>
      <c r="DZ876" s="406"/>
    </row>
    <row r="877" spans="1:130" s="492" customFormat="1" ht="117" hidden="1" customHeight="1" outlineLevel="2">
      <c r="A877" s="438"/>
      <c r="B877" s="438" t="s">
        <v>298</v>
      </c>
      <c r="C877" s="438" t="s">
        <v>408</v>
      </c>
      <c r="D877" s="408" t="s">
        <v>391</v>
      </c>
      <c r="E877" s="385"/>
      <c r="F877" s="385"/>
      <c r="G877" s="385" t="s">
        <v>439</v>
      </c>
      <c r="H877" s="401" t="s">
        <v>447</v>
      </c>
      <c r="I877" s="385" t="s">
        <v>438</v>
      </c>
      <c r="J877" s="489" t="s">
        <v>366</v>
      </c>
      <c r="K877" s="412"/>
      <c r="L877" s="412"/>
      <c r="M877" s="490" t="s">
        <v>37</v>
      </c>
      <c r="N877" s="490">
        <v>1</v>
      </c>
    </row>
    <row r="878" spans="1:130" s="492" customFormat="1" hidden="1" outlineLevel="2">
      <c r="A878" s="438"/>
      <c r="B878" s="438" t="s">
        <v>298</v>
      </c>
      <c r="C878" s="438" t="s">
        <v>408</v>
      </c>
      <c r="D878" s="408" t="s">
        <v>391</v>
      </c>
      <c r="E878" s="385"/>
      <c r="F878" s="385"/>
      <c r="G878" s="408"/>
      <c r="H878" s="408" t="s">
        <v>453</v>
      </c>
      <c r="I878" s="385" t="s">
        <v>436</v>
      </c>
      <c r="J878" s="489" t="s">
        <v>365</v>
      </c>
      <c r="K878" s="412"/>
      <c r="L878" s="412"/>
      <c r="M878" s="490" t="s">
        <v>37</v>
      </c>
      <c r="N878" s="490">
        <v>1</v>
      </c>
    </row>
    <row r="879" spans="1:130" s="492" customFormat="1" ht="40.5" hidden="1" outlineLevel="2">
      <c r="A879" s="438"/>
      <c r="B879" s="438" t="s">
        <v>298</v>
      </c>
      <c r="C879" s="438" t="s">
        <v>408</v>
      </c>
      <c r="D879" s="408" t="s">
        <v>391</v>
      </c>
      <c r="E879" s="385"/>
      <c r="F879" s="385"/>
      <c r="G879" s="408"/>
      <c r="H879" s="408" t="s">
        <v>451</v>
      </c>
      <c r="I879" s="385" t="s">
        <v>435</v>
      </c>
      <c r="J879" s="489" t="s">
        <v>365</v>
      </c>
      <c r="K879" s="412"/>
      <c r="L879" s="412"/>
      <c r="M879" s="490" t="s">
        <v>37</v>
      </c>
      <c r="N879" s="490">
        <v>1</v>
      </c>
    </row>
    <row r="880" spans="1:130" s="407" customFormat="1" ht="152.25" customHeight="1" outlineLevel="1" collapsed="1">
      <c r="A880" s="489" t="s">
        <v>1406</v>
      </c>
      <c r="B880" s="490" t="s">
        <v>298</v>
      </c>
      <c r="C880" s="398" t="s">
        <v>408</v>
      </c>
      <c r="D880" s="399" t="s">
        <v>391</v>
      </c>
      <c r="E880" s="490" t="s">
        <v>454</v>
      </c>
      <c r="F880" s="385" t="s">
        <v>303</v>
      </c>
      <c r="G880" s="385"/>
      <c r="H880" s="401" t="s">
        <v>457</v>
      </c>
      <c r="I880" s="385" t="str">
        <f>CONCATENATE(I881," ","(",H881,")","-",N881," ",M881," ",I882," ","(",H882,")","-",N882," ",M882," ",I883," ","(",H883,")","-",N883," ",M883," ",)</f>
        <v xml:space="preserve">Текущий ремонт ТМ (ТМ-250)-1 шт. Ремонт РУ 10-0,4 кВ (Замена опорных изоляторов - 12 шт, замена проходных изоляторов - 6 шт,замена РВС на ОПН - 3 шт,  замена рубильника - 3 шт, установка рубильника - 1 шт,ремонт разъединителя - 1шт, замена предохранителя - 3 шт., замена ОПН 0,4 - 3 шт.)-1 шт. Ремонт строительной части ТП (Покраска ТП - 20 м2, ремонт контура заземления - 1 шт)-1 шт. </v>
      </c>
      <c r="J880" s="489" t="s">
        <v>365</v>
      </c>
      <c r="K880" s="450">
        <v>44409</v>
      </c>
      <c r="L880" s="450">
        <v>44439</v>
      </c>
      <c r="M880" s="490"/>
      <c r="N880" s="490"/>
      <c r="O880" s="406"/>
      <c r="P880" s="406"/>
      <c r="Q880" s="406"/>
      <c r="R880" s="406"/>
      <c r="S880" s="406"/>
      <c r="T880" s="406"/>
      <c r="U880" s="406"/>
      <c r="V880" s="406"/>
      <c r="W880" s="406"/>
      <c r="X880" s="406"/>
      <c r="Y880" s="406"/>
      <c r="Z880" s="406"/>
      <c r="AA880" s="406"/>
      <c r="AB880" s="406"/>
      <c r="AC880" s="406"/>
      <c r="AD880" s="406"/>
      <c r="AE880" s="406"/>
      <c r="AF880" s="406"/>
      <c r="AG880" s="406"/>
      <c r="AH880" s="406"/>
      <c r="AI880" s="406"/>
      <c r="AJ880" s="406"/>
      <c r="AK880" s="406"/>
      <c r="AL880" s="406"/>
      <c r="AM880" s="406"/>
      <c r="AN880" s="406"/>
      <c r="AO880" s="406"/>
      <c r="AP880" s="406"/>
      <c r="AQ880" s="406"/>
      <c r="AR880" s="406"/>
      <c r="AS880" s="406"/>
      <c r="AT880" s="406"/>
      <c r="AU880" s="406"/>
      <c r="AV880" s="406"/>
      <c r="AW880" s="406"/>
      <c r="AX880" s="406"/>
      <c r="AY880" s="406"/>
      <c r="AZ880" s="406"/>
      <c r="BA880" s="406"/>
      <c r="BB880" s="406"/>
      <c r="BC880" s="406"/>
      <c r="BD880" s="406"/>
      <c r="BE880" s="406"/>
      <c r="BF880" s="406"/>
      <c r="BG880" s="406"/>
      <c r="BH880" s="406"/>
      <c r="BI880" s="406"/>
      <c r="BJ880" s="406"/>
      <c r="BK880" s="406"/>
      <c r="BL880" s="406"/>
      <c r="BM880" s="406"/>
      <c r="BN880" s="406"/>
      <c r="BO880" s="406"/>
      <c r="BP880" s="406"/>
      <c r="BQ880" s="406"/>
      <c r="BR880" s="406"/>
      <c r="BS880" s="406"/>
      <c r="BT880" s="406"/>
      <c r="BU880" s="406"/>
      <c r="BV880" s="406"/>
      <c r="BW880" s="406"/>
      <c r="BX880" s="406"/>
      <c r="BY880" s="406"/>
      <c r="BZ880" s="406"/>
      <c r="CA880" s="406"/>
      <c r="CB880" s="406"/>
      <c r="CC880" s="406"/>
      <c r="CD880" s="406"/>
      <c r="CE880" s="406"/>
      <c r="CF880" s="406"/>
      <c r="CG880" s="406"/>
      <c r="CH880" s="406"/>
      <c r="CI880" s="406"/>
      <c r="CJ880" s="406"/>
      <c r="CK880" s="406"/>
      <c r="CL880" s="406"/>
      <c r="CM880" s="406"/>
      <c r="CN880" s="406"/>
      <c r="CO880" s="406"/>
      <c r="CP880" s="406"/>
      <c r="CQ880" s="406"/>
      <c r="CR880" s="406"/>
      <c r="CS880" s="406"/>
      <c r="CT880" s="406"/>
      <c r="CU880" s="406"/>
      <c r="CV880" s="406"/>
      <c r="CW880" s="406"/>
      <c r="CX880" s="406"/>
      <c r="CY880" s="406"/>
      <c r="CZ880" s="406"/>
      <c r="DA880" s="406"/>
      <c r="DB880" s="406"/>
      <c r="DC880" s="406"/>
      <c r="DD880" s="406"/>
      <c r="DE880" s="406"/>
      <c r="DF880" s="406"/>
      <c r="DG880" s="406"/>
      <c r="DH880" s="406"/>
      <c r="DI880" s="406"/>
      <c r="DJ880" s="406"/>
      <c r="DK880" s="406"/>
      <c r="DL880" s="406"/>
      <c r="DM880" s="406"/>
      <c r="DN880" s="406"/>
      <c r="DO880" s="406"/>
      <c r="DP880" s="406"/>
      <c r="DQ880" s="406"/>
      <c r="DR880" s="406"/>
      <c r="DS880" s="406"/>
      <c r="DT880" s="406"/>
      <c r="DU880" s="406"/>
      <c r="DV880" s="406"/>
      <c r="DW880" s="406"/>
      <c r="DX880" s="406"/>
      <c r="DY880" s="406"/>
      <c r="DZ880" s="406"/>
    </row>
    <row r="881" spans="1:130" s="492" customFormat="1" ht="88.5" hidden="1" customHeight="1" outlineLevel="2">
      <c r="A881" s="438"/>
      <c r="B881" s="438" t="s">
        <v>298</v>
      </c>
      <c r="C881" s="438" t="s">
        <v>408</v>
      </c>
      <c r="D881" s="408" t="s">
        <v>391</v>
      </c>
      <c r="E881" s="385"/>
      <c r="F881" s="385"/>
      <c r="G881" s="385" t="s">
        <v>439</v>
      </c>
      <c r="H881" s="401" t="s">
        <v>434</v>
      </c>
      <c r="I881" s="385" t="s">
        <v>438</v>
      </c>
      <c r="J881" s="489" t="s">
        <v>366</v>
      </c>
      <c r="K881" s="412"/>
      <c r="L881" s="412"/>
      <c r="M881" s="490" t="s">
        <v>37</v>
      </c>
      <c r="N881" s="490">
        <v>1</v>
      </c>
    </row>
    <row r="882" spans="1:130" s="492" customFormat="1" ht="146.25" hidden="1" customHeight="1" outlineLevel="2">
      <c r="A882" s="438"/>
      <c r="B882" s="438" t="s">
        <v>298</v>
      </c>
      <c r="C882" s="438" t="s">
        <v>408</v>
      </c>
      <c r="D882" s="408" t="s">
        <v>391</v>
      </c>
      <c r="E882" s="385"/>
      <c r="F882" s="385"/>
      <c r="G882" s="408"/>
      <c r="H882" s="408" t="s">
        <v>1124</v>
      </c>
      <c r="I882" s="385" t="s">
        <v>436</v>
      </c>
      <c r="J882" s="489" t="s">
        <v>365</v>
      </c>
      <c r="K882" s="412"/>
      <c r="L882" s="412"/>
      <c r="M882" s="490" t="s">
        <v>37</v>
      </c>
      <c r="N882" s="490">
        <v>1</v>
      </c>
    </row>
    <row r="883" spans="1:130" s="492" customFormat="1" ht="40.5" hidden="1" outlineLevel="2">
      <c r="A883" s="438"/>
      <c r="B883" s="438" t="s">
        <v>298</v>
      </c>
      <c r="C883" s="438" t="s">
        <v>408</v>
      </c>
      <c r="D883" s="408" t="s">
        <v>391</v>
      </c>
      <c r="E883" s="385"/>
      <c r="F883" s="385"/>
      <c r="G883" s="408"/>
      <c r="H883" s="408" t="s">
        <v>458</v>
      </c>
      <c r="I883" s="385" t="s">
        <v>435</v>
      </c>
      <c r="J883" s="489" t="s">
        <v>365</v>
      </c>
      <c r="K883" s="412"/>
      <c r="L883" s="412"/>
      <c r="M883" s="490" t="s">
        <v>37</v>
      </c>
      <c r="N883" s="490">
        <v>1</v>
      </c>
    </row>
    <row r="884" spans="1:130" s="411" customFormat="1" ht="60.75" outlineLevel="1" collapsed="1">
      <c r="A884" s="489" t="s">
        <v>1407</v>
      </c>
      <c r="B884" s="490" t="s">
        <v>298</v>
      </c>
      <c r="C884" s="398" t="s">
        <v>520</v>
      </c>
      <c r="D884" s="399" t="s">
        <v>391</v>
      </c>
      <c r="E884" s="490" t="s">
        <v>1125</v>
      </c>
      <c r="F884" s="385" t="s">
        <v>810</v>
      </c>
      <c r="G884" s="385"/>
      <c r="H884" s="401" t="s">
        <v>1126</v>
      </c>
      <c r="I884" s="385" t="str">
        <f>CONCATENATE(I885," ","(",H885,")","-",N885," ",M885," ",I886," ","(",H886,")","-",N886," ",M886," ",)</f>
        <v xml:space="preserve">Текущий ремонт ТМ (1Т ТМ-400/6  )-1 шт. Ремонт РУ 10-0,4 кВ (Чистка помещений отсек РУ 0,4; РУ 6 - 10м2)-1 шт. </v>
      </c>
      <c r="J884" s="489" t="s">
        <v>366</v>
      </c>
      <c r="K884" s="450">
        <v>44409</v>
      </c>
      <c r="L884" s="450">
        <v>44439</v>
      </c>
      <c r="M884" s="490"/>
      <c r="N884" s="490"/>
      <c r="O884" s="384"/>
      <c r="P884" s="384"/>
      <c r="Q884" s="384"/>
      <c r="R884" s="384"/>
      <c r="S884" s="384"/>
      <c r="T884" s="384"/>
      <c r="U884" s="384"/>
      <c r="V884" s="384"/>
      <c r="W884" s="384"/>
      <c r="X884" s="384"/>
      <c r="Y884" s="384"/>
      <c r="Z884" s="384"/>
      <c r="AA884" s="384"/>
      <c r="AB884" s="384"/>
      <c r="AC884" s="384"/>
      <c r="AD884" s="384"/>
      <c r="AE884" s="384"/>
      <c r="AF884" s="384"/>
      <c r="AG884" s="384"/>
      <c r="AH884" s="384"/>
      <c r="AI884" s="384"/>
      <c r="AJ884" s="384"/>
      <c r="AK884" s="384"/>
      <c r="AL884" s="384"/>
      <c r="AM884" s="384"/>
      <c r="AN884" s="384"/>
      <c r="AO884" s="384"/>
      <c r="AP884" s="384"/>
      <c r="AQ884" s="384"/>
      <c r="AR884" s="384"/>
      <c r="AS884" s="384"/>
      <c r="AT884" s="384"/>
      <c r="AU884" s="384"/>
      <c r="AV884" s="384"/>
      <c r="AW884" s="384"/>
      <c r="AX884" s="384"/>
      <c r="AY884" s="384"/>
      <c r="AZ884" s="384"/>
      <c r="BA884" s="384"/>
      <c r="BB884" s="384"/>
      <c r="BC884" s="384"/>
      <c r="BD884" s="384"/>
      <c r="BE884" s="384"/>
      <c r="BF884" s="384"/>
      <c r="BG884" s="384"/>
      <c r="BH884" s="384"/>
      <c r="BI884" s="384"/>
      <c r="BJ884" s="384"/>
      <c r="BK884" s="384"/>
      <c r="BL884" s="384"/>
      <c r="BM884" s="384"/>
      <c r="BN884" s="384"/>
      <c r="BO884" s="384"/>
      <c r="BP884" s="384"/>
      <c r="BQ884" s="384"/>
      <c r="BR884" s="384"/>
      <c r="BS884" s="384"/>
      <c r="BT884" s="384"/>
      <c r="BU884" s="384"/>
      <c r="BV884" s="384"/>
      <c r="BW884" s="384"/>
      <c r="BX884" s="384"/>
      <c r="BY884" s="384"/>
      <c r="BZ884" s="384"/>
      <c r="CA884" s="384"/>
      <c r="CB884" s="384"/>
      <c r="CC884" s="384"/>
      <c r="CD884" s="384"/>
      <c r="CE884" s="384"/>
      <c r="CF884" s="384"/>
      <c r="CG884" s="384"/>
      <c r="CH884" s="384"/>
      <c r="CI884" s="384"/>
      <c r="CJ884" s="384"/>
      <c r="CK884" s="384"/>
      <c r="CL884" s="384"/>
      <c r="CM884" s="384"/>
      <c r="CN884" s="384"/>
      <c r="CO884" s="384"/>
      <c r="CP884" s="384"/>
      <c r="CQ884" s="384"/>
      <c r="CR884" s="384"/>
      <c r="CS884" s="384"/>
      <c r="CT884" s="384"/>
      <c r="CU884" s="384"/>
      <c r="CV884" s="384"/>
      <c r="CW884" s="384"/>
      <c r="CX884" s="384"/>
      <c r="CY884" s="384"/>
      <c r="CZ884" s="384"/>
      <c r="DA884" s="384"/>
      <c r="DB884" s="384"/>
      <c r="DC884" s="384"/>
      <c r="DD884" s="384"/>
      <c r="DE884" s="384"/>
      <c r="DF884" s="384"/>
      <c r="DG884" s="384"/>
      <c r="DH884" s="384"/>
      <c r="DI884" s="384"/>
      <c r="DJ884" s="384"/>
      <c r="DK884" s="384"/>
      <c r="DL884" s="384"/>
      <c r="DM884" s="384"/>
      <c r="DN884" s="384"/>
      <c r="DO884" s="384"/>
      <c r="DP884" s="384"/>
      <c r="DQ884" s="384"/>
      <c r="DR884" s="384"/>
      <c r="DS884" s="384"/>
      <c r="DT884" s="384"/>
      <c r="DU884" s="384"/>
      <c r="DV884" s="384"/>
      <c r="DW884" s="384"/>
      <c r="DX884" s="384"/>
      <c r="DY884" s="384"/>
      <c r="DZ884" s="384"/>
    </row>
    <row r="885" spans="1:130" hidden="1" outlineLevel="2">
      <c r="A885" s="438"/>
      <c r="B885" s="490"/>
      <c r="C885" s="398"/>
      <c r="D885" s="399"/>
      <c r="E885" s="385"/>
      <c r="F885" s="385"/>
      <c r="G885" s="385"/>
      <c r="H885" s="401" t="s">
        <v>1127</v>
      </c>
      <c r="I885" s="385" t="s">
        <v>438</v>
      </c>
      <c r="J885" s="489" t="s">
        <v>366</v>
      </c>
      <c r="K885" s="412"/>
      <c r="L885" s="412"/>
      <c r="M885" s="490" t="s">
        <v>37</v>
      </c>
      <c r="N885" s="490">
        <v>1</v>
      </c>
    </row>
    <row r="886" spans="1:130" ht="40.5" hidden="1" outlineLevel="2">
      <c r="A886" s="438"/>
      <c r="B886" s="490"/>
      <c r="C886" s="398"/>
      <c r="D886" s="399"/>
      <c r="E886" s="385"/>
      <c r="F886" s="385"/>
      <c r="G886" s="385"/>
      <c r="H886" s="401" t="s">
        <v>1128</v>
      </c>
      <c r="I886" s="385" t="s">
        <v>436</v>
      </c>
      <c r="J886" s="489" t="s">
        <v>366</v>
      </c>
      <c r="K886" s="412"/>
      <c r="L886" s="412"/>
      <c r="M886" s="490" t="s">
        <v>37</v>
      </c>
      <c r="N886" s="490">
        <v>1</v>
      </c>
    </row>
    <row r="887" spans="1:130" s="411" customFormat="1" ht="40.5" outlineLevel="1" collapsed="1">
      <c r="A887" s="489" t="s">
        <v>1408</v>
      </c>
      <c r="B887" s="490" t="s">
        <v>298</v>
      </c>
      <c r="C887" s="398" t="s">
        <v>520</v>
      </c>
      <c r="D887" s="399" t="s">
        <v>391</v>
      </c>
      <c r="E887" s="490" t="s">
        <v>1129</v>
      </c>
      <c r="F887" s="385" t="s">
        <v>810</v>
      </c>
      <c r="G887" s="385"/>
      <c r="H887" s="401" t="s">
        <v>1130</v>
      </c>
      <c r="I887" s="385" t="str">
        <f>CONCATENATE(I888," ","(",H888,")","-",N888," ",M888," ",I889," ","(",H889,")","-",N889," ",M889," ",)</f>
        <v xml:space="preserve">Текущий ремонт ТМ (1Т ТМ-630/10  )-1 шт. Ремонт РУ 10-0,4 кВ (Чистка помещений  - 10м2)-1 шт. </v>
      </c>
      <c r="J887" s="489" t="s">
        <v>366</v>
      </c>
      <c r="K887" s="450">
        <v>44378</v>
      </c>
      <c r="L887" s="450">
        <v>44408</v>
      </c>
      <c r="M887" s="490"/>
      <c r="N887" s="490"/>
      <c r="O887" s="384"/>
      <c r="P887" s="384"/>
      <c r="Q887" s="384"/>
      <c r="R887" s="384"/>
      <c r="S887" s="384"/>
      <c r="T887" s="384"/>
      <c r="U887" s="384"/>
      <c r="V887" s="384"/>
      <c r="W887" s="384"/>
      <c r="X887" s="384"/>
      <c r="Y887" s="384"/>
      <c r="Z887" s="384"/>
      <c r="AA887" s="384"/>
      <c r="AB887" s="384"/>
      <c r="AC887" s="384"/>
      <c r="AD887" s="384"/>
      <c r="AE887" s="384"/>
      <c r="AF887" s="384"/>
      <c r="AG887" s="384"/>
      <c r="AH887" s="384"/>
      <c r="AI887" s="384"/>
      <c r="AJ887" s="384"/>
      <c r="AK887" s="384"/>
      <c r="AL887" s="384"/>
      <c r="AM887" s="384"/>
      <c r="AN887" s="384"/>
      <c r="AO887" s="384"/>
      <c r="AP887" s="384"/>
      <c r="AQ887" s="384"/>
      <c r="AR887" s="384"/>
      <c r="AS887" s="384"/>
      <c r="AT887" s="384"/>
      <c r="AU887" s="384"/>
      <c r="AV887" s="384"/>
      <c r="AW887" s="384"/>
      <c r="AX887" s="384"/>
      <c r="AY887" s="384"/>
      <c r="AZ887" s="384"/>
      <c r="BA887" s="384"/>
      <c r="BB887" s="384"/>
      <c r="BC887" s="384"/>
      <c r="BD887" s="384"/>
      <c r="BE887" s="384"/>
      <c r="BF887" s="384"/>
      <c r="BG887" s="384"/>
      <c r="BH887" s="384"/>
      <c r="BI887" s="384"/>
      <c r="BJ887" s="384"/>
      <c r="BK887" s="384"/>
      <c r="BL887" s="384"/>
      <c r="BM887" s="384"/>
      <c r="BN887" s="384"/>
      <c r="BO887" s="384"/>
      <c r="BP887" s="384"/>
      <c r="BQ887" s="384"/>
      <c r="BR887" s="384"/>
      <c r="BS887" s="384"/>
      <c r="BT887" s="384"/>
      <c r="BU887" s="384"/>
      <c r="BV887" s="384"/>
      <c r="BW887" s="384"/>
      <c r="BX887" s="384"/>
      <c r="BY887" s="384"/>
      <c r="BZ887" s="384"/>
      <c r="CA887" s="384"/>
      <c r="CB887" s="384"/>
      <c r="CC887" s="384"/>
      <c r="CD887" s="384"/>
      <c r="CE887" s="384"/>
      <c r="CF887" s="384"/>
      <c r="CG887" s="384"/>
      <c r="CH887" s="384"/>
      <c r="CI887" s="384"/>
      <c r="CJ887" s="384"/>
      <c r="CK887" s="384"/>
      <c r="CL887" s="384"/>
      <c r="CM887" s="384"/>
      <c r="CN887" s="384"/>
      <c r="CO887" s="384"/>
      <c r="CP887" s="384"/>
      <c r="CQ887" s="384"/>
      <c r="CR887" s="384"/>
      <c r="CS887" s="384"/>
      <c r="CT887" s="384"/>
      <c r="CU887" s="384"/>
      <c r="CV887" s="384"/>
      <c r="CW887" s="384"/>
      <c r="CX887" s="384"/>
      <c r="CY887" s="384"/>
      <c r="CZ887" s="384"/>
      <c r="DA887" s="384"/>
      <c r="DB887" s="384"/>
      <c r="DC887" s="384"/>
      <c r="DD887" s="384"/>
      <c r="DE887" s="384"/>
      <c r="DF887" s="384"/>
      <c r="DG887" s="384"/>
      <c r="DH887" s="384"/>
      <c r="DI887" s="384"/>
      <c r="DJ887" s="384"/>
      <c r="DK887" s="384"/>
      <c r="DL887" s="384"/>
      <c r="DM887" s="384"/>
      <c r="DN887" s="384"/>
      <c r="DO887" s="384"/>
      <c r="DP887" s="384"/>
      <c r="DQ887" s="384"/>
      <c r="DR887" s="384"/>
      <c r="DS887" s="384"/>
      <c r="DT887" s="384"/>
      <c r="DU887" s="384"/>
      <c r="DV887" s="384"/>
      <c r="DW887" s="384"/>
      <c r="DX887" s="384"/>
      <c r="DY887" s="384"/>
      <c r="DZ887" s="384"/>
    </row>
    <row r="888" spans="1:130" hidden="1" outlineLevel="2">
      <c r="A888" s="438"/>
      <c r="B888" s="490"/>
      <c r="C888" s="398"/>
      <c r="D888" s="399"/>
      <c r="E888" s="385"/>
      <c r="F888" s="385"/>
      <c r="G888" s="385"/>
      <c r="H888" s="401" t="s">
        <v>1131</v>
      </c>
      <c r="I888" s="385" t="s">
        <v>438</v>
      </c>
      <c r="J888" s="489" t="s">
        <v>366</v>
      </c>
      <c r="K888" s="412"/>
      <c r="L888" s="412"/>
      <c r="M888" s="490" t="s">
        <v>37</v>
      </c>
      <c r="N888" s="490">
        <v>1</v>
      </c>
    </row>
    <row r="889" spans="1:130" hidden="1" outlineLevel="2">
      <c r="A889" s="438"/>
      <c r="B889" s="490"/>
      <c r="C889" s="398"/>
      <c r="D889" s="399"/>
      <c r="E889" s="385"/>
      <c r="F889" s="385"/>
      <c r="G889" s="385"/>
      <c r="H889" s="401" t="s">
        <v>1132</v>
      </c>
      <c r="I889" s="385" t="s">
        <v>436</v>
      </c>
      <c r="J889" s="489" t="s">
        <v>366</v>
      </c>
      <c r="K889" s="412"/>
      <c r="L889" s="412"/>
      <c r="M889" s="490" t="s">
        <v>37</v>
      </c>
      <c r="N889" s="490">
        <v>1</v>
      </c>
    </row>
    <row r="890" spans="1:130" s="411" customFormat="1" ht="40.5" outlineLevel="1" collapsed="1">
      <c r="A890" s="489" t="s">
        <v>1409</v>
      </c>
      <c r="B890" s="490" t="s">
        <v>298</v>
      </c>
      <c r="C890" s="398" t="s">
        <v>520</v>
      </c>
      <c r="D890" s="399" t="s">
        <v>391</v>
      </c>
      <c r="E890" s="490" t="s">
        <v>3731</v>
      </c>
      <c r="F890" s="385" t="s">
        <v>810</v>
      </c>
      <c r="G890" s="385"/>
      <c r="H890" s="401" t="s">
        <v>1133</v>
      </c>
      <c r="I890" s="385" t="str">
        <f>CONCATENATE(I891," ","(",H891,")","-",N891," ",M891," ",I892," ","(",H892,")","-",N892," ",M892," ",)</f>
        <v xml:space="preserve">Текущий ремонт ТМ (1Т ТМ-400/10  )-1 шт. Ремонт РУ 10-0,4 кВ (Чистка помещений  - 10м2)-1 шт. </v>
      </c>
      <c r="J890" s="489" t="s">
        <v>366</v>
      </c>
      <c r="K890" s="450">
        <v>44378</v>
      </c>
      <c r="L890" s="450">
        <v>44408</v>
      </c>
      <c r="M890" s="490"/>
      <c r="N890" s="490"/>
      <c r="O890" s="384"/>
      <c r="P890" s="384"/>
      <c r="Q890" s="384"/>
      <c r="R890" s="384"/>
      <c r="S890" s="384"/>
      <c r="T890" s="384"/>
      <c r="U890" s="384"/>
      <c r="V890" s="384"/>
      <c r="W890" s="384"/>
      <c r="X890" s="384"/>
      <c r="Y890" s="384"/>
      <c r="Z890" s="384"/>
      <c r="AA890" s="384"/>
      <c r="AB890" s="384"/>
      <c r="AC890" s="384"/>
      <c r="AD890" s="384"/>
      <c r="AE890" s="384"/>
      <c r="AF890" s="384"/>
      <c r="AG890" s="384"/>
      <c r="AH890" s="384"/>
      <c r="AI890" s="384"/>
      <c r="AJ890" s="384"/>
      <c r="AK890" s="384"/>
      <c r="AL890" s="384"/>
      <c r="AM890" s="384"/>
      <c r="AN890" s="384"/>
      <c r="AO890" s="384"/>
      <c r="AP890" s="384"/>
      <c r="AQ890" s="384"/>
      <c r="AR890" s="384"/>
      <c r="AS890" s="384"/>
      <c r="AT890" s="384"/>
      <c r="AU890" s="384"/>
      <c r="AV890" s="384"/>
      <c r="AW890" s="384"/>
      <c r="AX890" s="384"/>
      <c r="AY890" s="384"/>
      <c r="AZ890" s="384"/>
      <c r="BA890" s="384"/>
      <c r="BB890" s="384"/>
      <c r="BC890" s="384"/>
      <c r="BD890" s="384"/>
      <c r="BE890" s="384"/>
      <c r="BF890" s="384"/>
      <c r="BG890" s="384"/>
      <c r="BH890" s="384"/>
      <c r="BI890" s="384"/>
      <c r="BJ890" s="384"/>
      <c r="BK890" s="384"/>
      <c r="BL890" s="384"/>
      <c r="BM890" s="384"/>
      <c r="BN890" s="384"/>
      <c r="BO890" s="384"/>
      <c r="BP890" s="384"/>
      <c r="BQ890" s="384"/>
      <c r="BR890" s="384"/>
      <c r="BS890" s="384"/>
      <c r="BT890" s="384"/>
      <c r="BU890" s="384"/>
      <c r="BV890" s="384"/>
      <c r="BW890" s="384"/>
      <c r="BX890" s="384"/>
      <c r="BY890" s="384"/>
      <c r="BZ890" s="384"/>
      <c r="CA890" s="384"/>
      <c r="CB890" s="384"/>
      <c r="CC890" s="384"/>
      <c r="CD890" s="384"/>
      <c r="CE890" s="384"/>
      <c r="CF890" s="384"/>
      <c r="CG890" s="384"/>
      <c r="CH890" s="384"/>
      <c r="CI890" s="384"/>
      <c r="CJ890" s="384"/>
      <c r="CK890" s="384"/>
      <c r="CL890" s="384"/>
      <c r="CM890" s="384"/>
      <c r="CN890" s="384"/>
      <c r="CO890" s="384"/>
      <c r="CP890" s="384"/>
      <c r="CQ890" s="384"/>
      <c r="CR890" s="384"/>
      <c r="CS890" s="384"/>
      <c r="CT890" s="384"/>
      <c r="CU890" s="384"/>
      <c r="CV890" s="384"/>
      <c r="CW890" s="384"/>
      <c r="CX890" s="384"/>
      <c r="CY890" s="384"/>
      <c r="CZ890" s="384"/>
      <c r="DA890" s="384"/>
      <c r="DB890" s="384"/>
      <c r="DC890" s="384"/>
      <c r="DD890" s="384"/>
      <c r="DE890" s="384"/>
      <c r="DF890" s="384"/>
      <c r="DG890" s="384"/>
      <c r="DH890" s="384"/>
      <c r="DI890" s="384"/>
      <c r="DJ890" s="384"/>
      <c r="DK890" s="384"/>
      <c r="DL890" s="384"/>
      <c r="DM890" s="384"/>
      <c r="DN890" s="384"/>
      <c r="DO890" s="384"/>
      <c r="DP890" s="384"/>
      <c r="DQ890" s="384"/>
      <c r="DR890" s="384"/>
      <c r="DS890" s="384"/>
      <c r="DT890" s="384"/>
      <c r="DU890" s="384"/>
      <c r="DV890" s="384"/>
      <c r="DW890" s="384"/>
      <c r="DX890" s="384"/>
      <c r="DY890" s="384"/>
      <c r="DZ890" s="384"/>
    </row>
    <row r="891" spans="1:130" hidden="1" outlineLevel="2">
      <c r="A891" s="438"/>
      <c r="B891" s="490"/>
      <c r="C891" s="398"/>
      <c r="D891" s="399"/>
      <c r="E891" s="385"/>
      <c r="F891" s="385"/>
      <c r="G891" s="385"/>
      <c r="H891" s="401" t="s">
        <v>1134</v>
      </c>
      <c r="I891" s="385" t="s">
        <v>438</v>
      </c>
      <c r="J891" s="489" t="s">
        <v>366</v>
      </c>
      <c r="K891" s="412"/>
      <c r="L891" s="412"/>
      <c r="M891" s="490" t="s">
        <v>37</v>
      </c>
      <c r="N891" s="490">
        <v>1</v>
      </c>
    </row>
    <row r="892" spans="1:130" hidden="1" outlineLevel="2">
      <c r="A892" s="438"/>
      <c r="B892" s="490"/>
      <c r="C892" s="398"/>
      <c r="D892" s="399"/>
      <c r="E892" s="385"/>
      <c r="F892" s="385"/>
      <c r="G892" s="385"/>
      <c r="H892" s="401" t="s">
        <v>1132</v>
      </c>
      <c r="I892" s="385" t="s">
        <v>436</v>
      </c>
      <c r="J892" s="489" t="s">
        <v>365</v>
      </c>
      <c r="K892" s="412"/>
      <c r="L892" s="412"/>
      <c r="M892" s="490" t="s">
        <v>37</v>
      </c>
      <c r="N892" s="490">
        <v>1</v>
      </c>
    </row>
    <row r="893" spans="1:130" s="411" customFormat="1" ht="40.5" outlineLevel="1" collapsed="1">
      <c r="A893" s="489" t="s">
        <v>1410</v>
      </c>
      <c r="B893" s="490" t="s">
        <v>298</v>
      </c>
      <c r="C893" s="398" t="s">
        <v>520</v>
      </c>
      <c r="D893" s="399" t="s">
        <v>391</v>
      </c>
      <c r="E893" s="490" t="s">
        <v>1135</v>
      </c>
      <c r="F893" s="385" t="s">
        <v>810</v>
      </c>
      <c r="G893" s="385"/>
      <c r="H893" s="401" t="s">
        <v>1136</v>
      </c>
      <c r="I893" s="385" t="str">
        <f>CONCATENATE(I894," ","(",H894,")","-",N894," ",M894," ",I895," ","(",H895,")","-",N895," ",M895," ",)</f>
        <v xml:space="preserve">Текущий ремонт ТМ (1Т ТМ-400/10  )-1 шт. Ремонт РУ 10-0,4 кВ (Чистка помещений  - 10м2)-1 шт. </v>
      </c>
      <c r="J893" s="489" t="s">
        <v>366</v>
      </c>
      <c r="K893" s="450">
        <v>44409</v>
      </c>
      <c r="L893" s="450">
        <v>44439</v>
      </c>
      <c r="M893" s="490"/>
      <c r="N893" s="490"/>
      <c r="O893" s="384"/>
      <c r="P893" s="384"/>
      <c r="Q893" s="384"/>
      <c r="R893" s="384"/>
      <c r="S893" s="384"/>
      <c r="T893" s="384"/>
      <c r="U893" s="384"/>
      <c r="V893" s="384"/>
      <c r="W893" s="384"/>
      <c r="X893" s="384"/>
      <c r="Y893" s="384"/>
      <c r="Z893" s="384"/>
      <c r="AA893" s="384"/>
      <c r="AB893" s="384"/>
      <c r="AC893" s="384"/>
      <c r="AD893" s="384"/>
      <c r="AE893" s="384"/>
      <c r="AF893" s="384"/>
      <c r="AG893" s="384"/>
      <c r="AH893" s="384"/>
      <c r="AI893" s="384"/>
      <c r="AJ893" s="384"/>
      <c r="AK893" s="384"/>
      <c r="AL893" s="384"/>
      <c r="AM893" s="384"/>
      <c r="AN893" s="384"/>
      <c r="AO893" s="384"/>
      <c r="AP893" s="384"/>
      <c r="AQ893" s="384"/>
      <c r="AR893" s="384"/>
      <c r="AS893" s="384"/>
      <c r="AT893" s="384"/>
      <c r="AU893" s="384"/>
      <c r="AV893" s="384"/>
      <c r="AW893" s="384"/>
      <c r="AX893" s="384"/>
      <c r="AY893" s="384"/>
      <c r="AZ893" s="384"/>
      <c r="BA893" s="384"/>
      <c r="BB893" s="384"/>
      <c r="BC893" s="384"/>
      <c r="BD893" s="384"/>
      <c r="BE893" s="384"/>
      <c r="BF893" s="384"/>
      <c r="BG893" s="384"/>
      <c r="BH893" s="384"/>
      <c r="BI893" s="384"/>
      <c r="BJ893" s="384"/>
      <c r="BK893" s="384"/>
      <c r="BL893" s="384"/>
      <c r="BM893" s="384"/>
      <c r="BN893" s="384"/>
      <c r="BO893" s="384"/>
      <c r="BP893" s="384"/>
      <c r="BQ893" s="384"/>
      <c r="BR893" s="384"/>
      <c r="BS893" s="384"/>
      <c r="BT893" s="384"/>
      <c r="BU893" s="384"/>
      <c r="BV893" s="384"/>
      <c r="BW893" s="384"/>
      <c r="BX893" s="384"/>
      <c r="BY893" s="384"/>
      <c r="BZ893" s="384"/>
      <c r="CA893" s="384"/>
      <c r="CB893" s="384"/>
      <c r="CC893" s="384"/>
      <c r="CD893" s="384"/>
      <c r="CE893" s="384"/>
      <c r="CF893" s="384"/>
      <c r="CG893" s="384"/>
      <c r="CH893" s="384"/>
      <c r="CI893" s="384"/>
      <c r="CJ893" s="384"/>
      <c r="CK893" s="384"/>
      <c r="CL893" s="384"/>
      <c r="CM893" s="384"/>
      <c r="CN893" s="384"/>
      <c r="CO893" s="384"/>
      <c r="CP893" s="384"/>
      <c r="CQ893" s="384"/>
      <c r="CR893" s="384"/>
      <c r="CS893" s="384"/>
      <c r="CT893" s="384"/>
      <c r="CU893" s="384"/>
      <c r="CV893" s="384"/>
      <c r="CW893" s="384"/>
      <c r="CX893" s="384"/>
      <c r="CY893" s="384"/>
      <c r="CZ893" s="384"/>
      <c r="DA893" s="384"/>
      <c r="DB893" s="384"/>
      <c r="DC893" s="384"/>
      <c r="DD893" s="384"/>
      <c r="DE893" s="384"/>
      <c r="DF893" s="384"/>
      <c r="DG893" s="384"/>
      <c r="DH893" s="384"/>
      <c r="DI893" s="384"/>
      <c r="DJ893" s="384"/>
      <c r="DK893" s="384"/>
      <c r="DL893" s="384"/>
      <c r="DM893" s="384"/>
      <c r="DN893" s="384"/>
      <c r="DO893" s="384"/>
      <c r="DP893" s="384"/>
      <c r="DQ893" s="384"/>
      <c r="DR893" s="384"/>
      <c r="DS893" s="384"/>
      <c r="DT893" s="384"/>
      <c r="DU893" s="384"/>
      <c r="DV893" s="384"/>
      <c r="DW893" s="384"/>
      <c r="DX893" s="384"/>
      <c r="DY893" s="384"/>
      <c r="DZ893" s="384"/>
    </row>
    <row r="894" spans="1:130" hidden="1" outlineLevel="2">
      <c r="A894" s="438"/>
      <c r="B894" s="490"/>
      <c r="C894" s="398"/>
      <c r="D894" s="399"/>
      <c r="E894" s="385"/>
      <c r="F894" s="385"/>
      <c r="G894" s="385"/>
      <c r="H894" s="401" t="s">
        <v>1134</v>
      </c>
      <c r="I894" s="385" t="s">
        <v>438</v>
      </c>
      <c r="J894" s="489" t="s">
        <v>366</v>
      </c>
      <c r="K894" s="412"/>
      <c r="L894" s="412"/>
      <c r="M894" s="490" t="s">
        <v>37</v>
      </c>
      <c r="N894" s="490">
        <v>1</v>
      </c>
    </row>
    <row r="895" spans="1:130" hidden="1" outlineLevel="2">
      <c r="A895" s="438"/>
      <c r="B895" s="490"/>
      <c r="C895" s="398"/>
      <c r="D895" s="399"/>
      <c r="E895" s="385"/>
      <c r="F895" s="385"/>
      <c r="G895" s="385"/>
      <c r="H895" s="401" t="s">
        <v>1132</v>
      </c>
      <c r="I895" s="385" t="s">
        <v>436</v>
      </c>
      <c r="J895" s="489" t="s">
        <v>365</v>
      </c>
      <c r="K895" s="412"/>
      <c r="L895" s="412"/>
      <c r="M895" s="490" t="s">
        <v>37</v>
      </c>
      <c r="N895" s="490">
        <v>1</v>
      </c>
    </row>
    <row r="896" spans="1:130" s="411" customFormat="1" ht="40.5" outlineLevel="1" collapsed="1">
      <c r="A896" s="489" t="s">
        <v>1411</v>
      </c>
      <c r="B896" s="490" t="s">
        <v>298</v>
      </c>
      <c r="C896" s="398" t="s">
        <v>520</v>
      </c>
      <c r="D896" s="399" t="s">
        <v>391</v>
      </c>
      <c r="E896" s="490" t="s">
        <v>1135</v>
      </c>
      <c r="F896" s="385" t="s">
        <v>810</v>
      </c>
      <c r="G896" s="385"/>
      <c r="H896" s="401" t="s">
        <v>1137</v>
      </c>
      <c r="I896" s="385" t="str">
        <f>CONCATENATE(I897," ","(",H897,")","-",N897," ",M897," ",I898," ","(",H898,")","-",N898," ",M898," ",)</f>
        <v xml:space="preserve">Текущий ремонт ТМ (1Т ТМ-400/10  )-1 шт. Ремонт РУ 10-0,4 кВ (Чистка помещений  - 10м2)-1 шт. </v>
      </c>
      <c r="J896" s="489" t="s">
        <v>366</v>
      </c>
      <c r="K896" s="450">
        <v>44409</v>
      </c>
      <c r="L896" s="450">
        <v>44439</v>
      </c>
      <c r="M896" s="490"/>
      <c r="N896" s="490"/>
      <c r="O896" s="384"/>
      <c r="P896" s="384"/>
      <c r="Q896" s="384"/>
      <c r="R896" s="384"/>
      <c r="S896" s="384"/>
      <c r="T896" s="384"/>
      <c r="U896" s="384"/>
      <c r="V896" s="384"/>
      <c r="W896" s="384"/>
      <c r="X896" s="384"/>
      <c r="Y896" s="384"/>
      <c r="Z896" s="384"/>
      <c r="AA896" s="384"/>
      <c r="AB896" s="384"/>
      <c r="AC896" s="384"/>
      <c r="AD896" s="384"/>
      <c r="AE896" s="384"/>
      <c r="AF896" s="384"/>
      <c r="AG896" s="384"/>
      <c r="AH896" s="384"/>
      <c r="AI896" s="384"/>
      <c r="AJ896" s="384"/>
      <c r="AK896" s="384"/>
      <c r="AL896" s="384"/>
      <c r="AM896" s="384"/>
      <c r="AN896" s="384"/>
      <c r="AO896" s="384"/>
      <c r="AP896" s="384"/>
      <c r="AQ896" s="384"/>
      <c r="AR896" s="384"/>
      <c r="AS896" s="384"/>
      <c r="AT896" s="384"/>
      <c r="AU896" s="384"/>
      <c r="AV896" s="384"/>
      <c r="AW896" s="384"/>
      <c r="AX896" s="384"/>
      <c r="AY896" s="384"/>
      <c r="AZ896" s="384"/>
      <c r="BA896" s="384"/>
      <c r="BB896" s="384"/>
      <c r="BC896" s="384"/>
      <c r="BD896" s="384"/>
      <c r="BE896" s="384"/>
      <c r="BF896" s="384"/>
      <c r="BG896" s="384"/>
      <c r="BH896" s="384"/>
      <c r="BI896" s="384"/>
      <c r="BJ896" s="384"/>
      <c r="BK896" s="384"/>
      <c r="BL896" s="384"/>
      <c r="BM896" s="384"/>
      <c r="BN896" s="384"/>
      <c r="BO896" s="384"/>
      <c r="BP896" s="384"/>
      <c r="BQ896" s="384"/>
      <c r="BR896" s="384"/>
      <c r="BS896" s="384"/>
      <c r="BT896" s="384"/>
      <c r="BU896" s="384"/>
      <c r="BV896" s="384"/>
      <c r="BW896" s="384"/>
      <c r="BX896" s="384"/>
      <c r="BY896" s="384"/>
      <c r="BZ896" s="384"/>
      <c r="CA896" s="384"/>
      <c r="CB896" s="384"/>
      <c r="CC896" s="384"/>
      <c r="CD896" s="384"/>
      <c r="CE896" s="384"/>
      <c r="CF896" s="384"/>
      <c r="CG896" s="384"/>
      <c r="CH896" s="384"/>
      <c r="CI896" s="384"/>
      <c r="CJ896" s="384"/>
      <c r="CK896" s="384"/>
      <c r="CL896" s="384"/>
      <c r="CM896" s="384"/>
      <c r="CN896" s="384"/>
      <c r="CO896" s="384"/>
      <c r="CP896" s="384"/>
      <c r="CQ896" s="384"/>
      <c r="CR896" s="384"/>
      <c r="CS896" s="384"/>
      <c r="CT896" s="384"/>
      <c r="CU896" s="384"/>
      <c r="CV896" s="384"/>
      <c r="CW896" s="384"/>
      <c r="CX896" s="384"/>
      <c r="CY896" s="384"/>
      <c r="CZ896" s="384"/>
      <c r="DA896" s="384"/>
      <c r="DB896" s="384"/>
      <c r="DC896" s="384"/>
      <c r="DD896" s="384"/>
      <c r="DE896" s="384"/>
      <c r="DF896" s="384"/>
      <c r="DG896" s="384"/>
      <c r="DH896" s="384"/>
      <c r="DI896" s="384"/>
      <c r="DJ896" s="384"/>
      <c r="DK896" s="384"/>
      <c r="DL896" s="384"/>
      <c r="DM896" s="384"/>
      <c r="DN896" s="384"/>
      <c r="DO896" s="384"/>
      <c r="DP896" s="384"/>
      <c r="DQ896" s="384"/>
      <c r="DR896" s="384"/>
      <c r="DS896" s="384"/>
      <c r="DT896" s="384"/>
      <c r="DU896" s="384"/>
      <c r="DV896" s="384"/>
      <c r="DW896" s="384"/>
      <c r="DX896" s="384"/>
      <c r="DY896" s="384"/>
      <c r="DZ896" s="384"/>
    </row>
    <row r="897" spans="1:130" hidden="1" outlineLevel="2">
      <c r="A897" s="438"/>
      <c r="B897" s="490"/>
      <c r="C897" s="398"/>
      <c r="D897" s="399"/>
      <c r="E897" s="385"/>
      <c r="F897" s="385"/>
      <c r="G897" s="385"/>
      <c r="H897" s="401" t="s">
        <v>1134</v>
      </c>
      <c r="I897" s="385" t="s">
        <v>438</v>
      </c>
      <c r="J897" s="489" t="s">
        <v>366</v>
      </c>
      <c r="K897" s="412"/>
      <c r="L897" s="412"/>
      <c r="M897" s="490" t="s">
        <v>37</v>
      </c>
      <c r="N897" s="490">
        <v>1</v>
      </c>
    </row>
    <row r="898" spans="1:130" hidden="1" outlineLevel="2">
      <c r="A898" s="438"/>
      <c r="B898" s="490"/>
      <c r="C898" s="398"/>
      <c r="D898" s="399"/>
      <c r="E898" s="385"/>
      <c r="F898" s="385"/>
      <c r="G898" s="385"/>
      <c r="H898" s="401" t="s">
        <v>1132</v>
      </c>
      <c r="I898" s="385" t="s">
        <v>436</v>
      </c>
      <c r="J898" s="489" t="s">
        <v>365</v>
      </c>
      <c r="K898" s="412"/>
      <c r="L898" s="412"/>
      <c r="M898" s="490" t="s">
        <v>37</v>
      </c>
      <c r="N898" s="490">
        <v>1</v>
      </c>
    </row>
    <row r="899" spans="1:130" s="384" customFormat="1" ht="81" outlineLevel="1" collapsed="1">
      <c r="A899" s="489" t="s">
        <v>1412</v>
      </c>
      <c r="B899" s="490" t="s">
        <v>298</v>
      </c>
      <c r="C899" s="398" t="s">
        <v>520</v>
      </c>
      <c r="D899" s="399" t="s">
        <v>391</v>
      </c>
      <c r="E899" s="490" t="s">
        <v>1699</v>
      </c>
      <c r="F899" s="385" t="s">
        <v>1470</v>
      </c>
      <c r="G899" s="385"/>
      <c r="H899" s="385" t="s">
        <v>969</v>
      </c>
      <c r="I899" s="385" t="str">
        <f>CONCATENATE(I900," ","(",H900,")","-",N900," ",M900,)</f>
        <v>Ремонт РУ 10-0,4 кВ (Замена трансформаторов тока 6-10 кВ (Яч. 2 А, С, Яч. 4 А, С))-1 шт.</v>
      </c>
      <c r="J899" s="489" t="s">
        <v>365</v>
      </c>
      <c r="K899" s="450">
        <v>44409</v>
      </c>
      <c r="L899" s="450">
        <v>44439</v>
      </c>
      <c r="M899" s="490"/>
      <c r="N899" s="490"/>
    </row>
    <row r="900" spans="1:130" ht="40.5" hidden="1" outlineLevel="2">
      <c r="A900" s="438"/>
      <c r="B900" s="490" t="s">
        <v>298</v>
      </c>
      <c r="C900" s="398"/>
      <c r="D900" s="399"/>
      <c r="E900" s="385"/>
      <c r="F900" s="400"/>
      <c r="G900" s="385"/>
      <c r="H900" s="401" t="s">
        <v>3732</v>
      </c>
      <c r="I900" s="385" t="s">
        <v>436</v>
      </c>
      <c r="J900" s="489" t="s">
        <v>365</v>
      </c>
      <c r="K900" s="412"/>
      <c r="L900" s="412"/>
      <c r="M900" s="490" t="s">
        <v>37</v>
      </c>
      <c r="N900" s="490">
        <v>1</v>
      </c>
    </row>
    <row r="901" spans="1:130" s="411" customFormat="1" ht="40.5" outlineLevel="1" collapsed="1">
      <c r="A901" s="489" t="s">
        <v>1413</v>
      </c>
      <c r="B901" s="490" t="s">
        <v>298</v>
      </c>
      <c r="C901" s="398" t="s">
        <v>578</v>
      </c>
      <c r="D901" s="399" t="s">
        <v>391</v>
      </c>
      <c r="E901" s="490" t="s">
        <v>1138</v>
      </c>
      <c r="F901" s="385" t="s">
        <v>303</v>
      </c>
      <c r="G901" s="385"/>
      <c r="H901" s="401" t="s">
        <v>1139</v>
      </c>
      <c r="I901" s="385" t="str">
        <f>CONCATENATE(I902," ","(",H902,")","-",N902," ",M902," ",I903," ","(",H903,")","-",N903," ",M903," ",)</f>
        <v xml:space="preserve">Ремонт РУ 10-0,4 кВ ()-1 шт. Ремонт строительной части ТП ()-1 шт. </v>
      </c>
      <c r="J901" s="489" t="s">
        <v>365</v>
      </c>
      <c r="K901" s="450">
        <v>44409</v>
      </c>
      <c r="L901" s="450">
        <v>44439</v>
      </c>
      <c r="M901" s="490"/>
      <c r="N901" s="490"/>
      <c r="O901" s="384"/>
      <c r="P901" s="384"/>
      <c r="Q901" s="384"/>
      <c r="R901" s="384"/>
      <c r="S901" s="384"/>
      <c r="T901" s="384"/>
      <c r="U901" s="384"/>
      <c r="V901" s="384"/>
      <c r="W901" s="384"/>
      <c r="X901" s="384"/>
      <c r="Y901" s="384"/>
      <c r="Z901" s="384"/>
      <c r="AA901" s="384"/>
      <c r="AB901" s="384"/>
      <c r="AC901" s="384"/>
      <c r="AD901" s="384"/>
      <c r="AE901" s="384"/>
      <c r="AF901" s="384"/>
      <c r="AG901" s="384"/>
      <c r="AH901" s="384"/>
      <c r="AI901" s="384"/>
      <c r="AJ901" s="384"/>
      <c r="AK901" s="384"/>
      <c r="AL901" s="384"/>
      <c r="AM901" s="384"/>
      <c r="AN901" s="384"/>
      <c r="AO901" s="384"/>
      <c r="AP901" s="384"/>
      <c r="AQ901" s="384"/>
      <c r="AR901" s="384"/>
      <c r="AS901" s="384"/>
      <c r="AT901" s="384"/>
      <c r="AU901" s="384"/>
      <c r="AV901" s="384"/>
      <c r="AW901" s="384"/>
      <c r="AX901" s="384"/>
      <c r="AY901" s="384"/>
      <c r="AZ901" s="384"/>
      <c r="BA901" s="384"/>
      <c r="BB901" s="384"/>
      <c r="BC901" s="384"/>
      <c r="BD901" s="384"/>
      <c r="BE901" s="384"/>
      <c r="BF901" s="384"/>
      <c r="BG901" s="384"/>
      <c r="BH901" s="384"/>
      <c r="BI901" s="384"/>
      <c r="BJ901" s="384"/>
      <c r="BK901" s="384"/>
      <c r="BL901" s="384"/>
      <c r="BM901" s="384"/>
      <c r="BN901" s="384"/>
      <c r="BO901" s="384"/>
      <c r="BP901" s="384"/>
      <c r="BQ901" s="384"/>
      <c r="BR901" s="384"/>
      <c r="BS901" s="384"/>
      <c r="BT901" s="384"/>
      <c r="BU901" s="384"/>
      <c r="BV901" s="384"/>
      <c r="BW901" s="384"/>
      <c r="BX901" s="384"/>
      <c r="BY901" s="384"/>
      <c r="BZ901" s="384"/>
      <c r="CA901" s="384"/>
      <c r="CB901" s="384"/>
      <c r="CC901" s="384"/>
      <c r="CD901" s="384"/>
      <c r="CE901" s="384"/>
      <c r="CF901" s="384"/>
      <c r="CG901" s="384"/>
      <c r="CH901" s="384"/>
      <c r="CI901" s="384"/>
      <c r="CJ901" s="384"/>
      <c r="CK901" s="384"/>
      <c r="CL901" s="384"/>
      <c r="CM901" s="384"/>
      <c r="CN901" s="384"/>
      <c r="CO901" s="384"/>
      <c r="CP901" s="384"/>
      <c r="CQ901" s="384"/>
      <c r="CR901" s="384"/>
      <c r="CS901" s="384"/>
      <c r="CT901" s="384"/>
      <c r="CU901" s="384"/>
      <c r="CV901" s="384"/>
      <c r="CW901" s="384"/>
      <c r="CX901" s="384"/>
      <c r="CY901" s="384"/>
      <c r="CZ901" s="384"/>
      <c r="DA901" s="384"/>
      <c r="DB901" s="384"/>
      <c r="DC901" s="384"/>
      <c r="DD901" s="384"/>
      <c r="DE901" s="384"/>
      <c r="DF901" s="384"/>
      <c r="DG901" s="384"/>
      <c r="DH901" s="384"/>
      <c r="DI901" s="384"/>
      <c r="DJ901" s="384"/>
      <c r="DK901" s="384"/>
      <c r="DL901" s="384"/>
      <c r="DM901" s="384"/>
      <c r="DN901" s="384"/>
      <c r="DO901" s="384"/>
      <c r="DP901" s="384"/>
      <c r="DQ901" s="384"/>
      <c r="DR901" s="384"/>
      <c r="DS901" s="384"/>
      <c r="DT901" s="384"/>
      <c r="DU901" s="384"/>
      <c r="DV901" s="384"/>
      <c r="DW901" s="384"/>
      <c r="DX901" s="384"/>
      <c r="DY901" s="384"/>
      <c r="DZ901" s="384"/>
    </row>
    <row r="902" spans="1:130" hidden="1" outlineLevel="2">
      <c r="A902" s="438"/>
      <c r="B902" s="490"/>
      <c r="C902" s="398"/>
      <c r="D902" s="399"/>
      <c r="E902" s="385"/>
      <c r="F902" s="385"/>
      <c r="G902" s="385"/>
      <c r="H902" s="401"/>
      <c r="I902" s="385" t="s">
        <v>436</v>
      </c>
      <c r="J902" s="489" t="s">
        <v>365</v>
      </c>
      <c r="K902" s="412"/>
      <c r="L902" s="412"/>
      <c r="M902" s="490" t="s">
        <v>37</v>
      </c>
      <c r="N902" s="490">
        <v>1</v>
      </c>
    </row>
    <row r="903" spans="1:130" hidden="1" outlineLevel="2">
      <c r="A903" s="438"/>
      <c r="B903" s="490"/>
      <c r="C903" s="398"/>
      <c r="D903" s="399"/>
      <c r="E903" s="385"/>
      <c r="F903" s="385"/>
      <c r="G903" s="385"/>
      <c r="H903" s="401"/>
      <c r="I903" s="385" t="s">
        <v>435</v>
      </c>
      <c r="J903" s="489" t="s">
        <v>365</v>
      </c>
      <c r="K903" s="412"/>
      <c r="L903" s="412"/>
      <c r="M903" s="490" t="s">
        <v>37</v>
      </c>
      <c r="N903" s="490">
        <v>1</v>
      </c>
    </row>
    <row r="904" spans="1:130" s="411" customFormat="1" ht="40.5" outlineLevel="1" collapsed="1">
      <c r="A904" s="489" t="s">
        <v>1414</v>
      </c>
      <c r="B904" s="490" t="s">
        <v>298</v>
      </c>
      <c r="C904" s="398" t="s">
        <v>578</v>
      </c>
      <c r="D904" s="399" t="s">
        <v>391</v>
      </c>
      <c r="E904" s="490" t="s">
        <v>1140</v>
      </c>
      <c r="F904" s="385" t="s">
        <v>303</v>
      </c>
      <c r="G904" s="385" t="s">
        <v>3389</v>
      </c>
      <c r="H904" s="401" t="s">
        <v>1141</v>
      </c>
      <c r="I904" s="385" t="str">
        <f>CONCATENATE(I905," ","(",H905,")","-",N905," ",M905," ",)</f>
        <v xml:space="preserve">демонтаж/монтаж ТМ (630/10 №23557 1982г. , ТМ-630/10 №7622 1978г)-2 шт. </v>
      </c>
      <c r="J904" s="489" t="s">
        <v>365</v>
      </c>
      <c r="K904" s="450">
        <v>44470</v>
      </c>
      <c r="L904" s="450">
        <v>44500</v>
      </c>
      <c r="M904" s="490"/>
      <c r="N904" s="490"/>
      <c r="O904" s="384"/>
      <c r="P904" s="384"/>
      <c r="Q904" s="384"/>
      <c r="R904" s="384"/>
      <c r="S904" s="384"/>
      <c r="T904" s="384"/>
      <c r="U904" s="384"/>
      <c r="V904" s="384"/>
      <c r="W904" s="384"/>
      <c r="X904" s="384"/>
      <c r="Y904" s="384"/>
      <c r="Z904" s="384"/>
      <c r="AA904" s="384"/>
      <c r="AB904" s="384"/>
      <c r="AC904" s="384"/>
      <c r="AD904" s="384"/>
      <c r="AE904" s="384"/>
      <c r="AF904" s="384"/>
      <c r="AG904" s="384"/>
      <c r="AH904" s="384"/>
      <c r="AI904" s="384"/>
      <c r="AJ904" s="384"/>
      <c r="AK904" s="384"/>
      <c r="AL904" s="384"/>
      <c r="AM904" s="384"/>
      <c r="AN904" s="384"/>
      <c r="AO904" s="384"/>
      <c r="AP904" s="384"/>
      <c r="AQ904" s="384"/>
      <c r="AR904" s="384"/>
      <c r="AS904" s="384"/>
      <c r="AT904" s="384"/>
      <c r="AU904" s="384"/>
      <c r="AV904" s="384"/>
      <c r="AW904" s="384"/>
      <c r="AX904" s="384"/>
      <c r="AY904" s="384"/>
      <c r="AZ904" s="384"/>
      <c r="BA904" s="384"/>
      <c r="BB904" s="384"/>
      <c r="BC904" s="384"/>
      <c r="BD904" s="384"/>
      <c r="BE904" s="384"/>
      <c r="BF904" s="384"/>
      <c r="BG904" s="384"/>
      <c r="BH904" s="384"/>
      <c r="BI904" s="384"/>
      <c r="BJ904" s="384"/>
      <c r="BK904" s="384"/>
      <c r="BL904" s="384"/>
      <c r="BM904" s="384"/>
      <c r="BN904" s="384"/>
      <c r="BO904" s="384"/>
      <c r="BP904" s="384"/>
      <c r="BQ904" s="384"/>
      <c r="BR904" s="384"/>
      <c r="BS904" s="384"/>
      <c r="BT904" s="384"/>
      <c r="BU904" s="384"/>
      <c r="BV904" s="384"/>
      <c r="BW904" s="384"/>
      <c r="BX904" s="384"/>
      <c r="BY904" s="384"/>
      <c r="BZ904" s="384"/>
      <c r="CA904" s="384"/>
      <c r="CB904" s="384"/>
      <c r="CC904" s="384"/>
      <c r="CD904" s="384"/>
      <c r="CE904" s="384"/>
      <c r="CF904" s="384"/>
      <c r="CG904" s="384"/>
      <c r="CH904" s="384"/>
      <c r="CI904" s="384"/>
      <c r="CJ904" s="384"/>
      <c r="CK904" s="384"/>
      <c r="CL904" s="384"/>
      <c r="CM904" s="384"/>
      <c r="CN904" s="384"/>
      <c r="CO904" s="384"/>
      <c r="CP904" s="384"/>
      <c r="CQ904" s="384"/>
      <c r="CR904" s="384"/>
      <c r="CS904" s="384"/>
      <c r="CT904" s="384"/>
      <c r="CU904" s="384"/>
      <c r="CV904" s="384"/>
      <c r="CW904" s="384"/>
      <c r="CX904" s="384"/>
      <c r="CY904" s="384"/>
      <c r="CZ904" s="384"/>
      <c r="DA904" s="384"/>
      <c r="DB904" s="384"/>
      <c r="DC904" s="384"/>
      <c r="DD904" s="384"/>
      <c r="DE904" s="384"/>
      <c r="DF904" s="384"/>
      <c r="DG904" s="384"/>
      <c r="DH904" s="384"/>
      <c r="DI904" s="384"/>
      <c r="DJ904" s="384"/>
      <c r="DK904" s="384"/>
      <c r="DL904" s="384"/>
      <c r="DM904" s="384"/>
      <c r="DN904" s="384"/>
      <c r="DO904" s="384"/>
      <c r="DP904" s="384"/>
      <c r="DQ904" s="384"/>
      <c r="DR904" s="384"/>
      <c r="DS904" s="384"/>
      <c r="DT904" s="384"/>
      <c r="DU904" s="384"/>
      <c r="DV904" s="384"/>
      <c r="DW904" s="384"/>
      <c r="DX904" s="384"/>
      <c r="DY904" s="384"/>
      <c r="DZ904" s="384"/>
    </row>
    <row r="905" spans="1:130" ht="40.5" hidden="1" outlineLevel="2">
      <c r="A905" s="438"/>
      <c r="B905" s="490"/>
      <c r="C905" s="398"/>
      <c r="D905" s="399"/>
      <c r="E905" s="385"/>
      <c r="F905" s="385"/>
      <c r="G905" s="385"/>
      <c r="H905" s="401" t="s">
        <v>1142</v>
      </c>
      <c r="I905" s="385" t="s">
        <v>1143</v>
      </c>
      <c r="J905" s="489" t="s">
        <v>365</v>
      </c>
      <c r="K905" s="412"/>
      <c r="L905" s="412"/>
      <c r="M905" s="490" t="s">
        <v>37</v>
      </c>
      <c r="N905" s="490">
        <v>2</v>
      </c>
    </row>
    <row r="906" spans="1:130" s="411" customFormat="1" ht="60.75" outlineLevel="1" collapsed="1">
      <c r="A906" s="489" t="s">
        <v>1415</v>
      </c>
      <c r="B906" s="490" t="s">
        <v>298</v>
      </c>
      <c r="C906" s="398" t="s">
        <v>578</v>
      </c>
      <c r="D906" s="399" t="s">
        <v>391</v>
      </c>
      <c r="E906" s="490" t="s">
        <v>1144</v>
      </c>
      <c r="F906" s="385" t="s">
        <v>303</v>
      </c>
      <c r="G906" s="385"/>
      <c r="H906" s="401" t="s">
        <v>1145</v>
      </c>
      <c r="I906" s="385" t="str">
        <f>CONCATENATE(I907," ","(",H907,")","-",N907," ",M907," ",I908," ","(",H908,")","-",N908," ",M908," ",I909," ","(",H909,")","-",N909," ",M909," ",)</f>
        <v xml:space="preserve">Текущий ремонт ТМ (1Т ТМ-160/10)-1 шт. Ремонт РУ 10-0,4 кВ ()-1 шт. Ремонт строительной части ТП ()-1 шт. </v>
      </c>
      <c r="J906" s="489" t="s">
        <v>365</v>
      </c>
      <c r="K906" s="450">
        <v>44317</v>
      </c>
      <c r="L906" s="450">
        <v>44347</v>
      </c>
      <c r="M906" s="490"/>
      <c r="N906" s="490"/>
      <c r="O906" s="384"/>
      <c r="P906" s="384"/>
      <c r="Q906" s="384"/>
      <c r="R906" s="384"/>
      <c r="S906" s="384"/>
      <c r="T906" s="384"/>
      <c r="U906" s="384"/>
      <c r="V906" s="384"/>
      <c r="W906" s="384"/>
      <c r="X906" s="384"/>
      <c r="Y906" s="384"/>
      <c r="Z906" s="384"/>
      <c r="AA906" s="384"/>
      <c r="AB906" s="384"/>
      <c r="AC906" s="384"/>
      <c r="AD906" s="384"/>
      <c r="AE906" s="384"/>
      <c r="AF906" s="384"/>
      <c r="AG906" s="384"/>
      <c r="AH906" s="384"/>
      <c r="AI906" s="384"/>
      <c r="AJ906" s="384"/>
      <c r="AK906" s="384"/>
      <c r="AL906" s="384"/>
      <c r="AM906" s="384"/>
      <c r="AN906" s="384"/>
      <c r="AO906" s="384"/>
      <c r="AP906" s="384"/>
      <c r="AQ906" s="384"/>
      <c r="AR906" s="384"/>
      <c r="AS906" s="384"/>
      <c r="AT906" s="384"/>
      <c r="AU906" s="384"/>
      <c r="AV906" s="384"/>
      <c r="AW906" s="384"/>
      <c r="AX906" s="384"/>
      <c r="AY906" s="384"/>
      <c r="AZ906" s="384"/>
      <c r="BA906" s="384"/>
      <c r="BB906" s="384"/>
      <c r="BC906" s="384"/>
      <c r="BD906" s="384"/>
      <c r="BE906" s="384"/>
      <c r="BF906" s="384"/>
      <c r="BG906" s="384"/>
      <c r="BH906" s="384"/>
      <c r="BI906" s="384"/>
      <c r="BJ906" s="384"/>
      <c r="BK906" s="384"/>
      <c r="BL906" s="384"/>
      <c r="BM906" s="384"/>
      <c r="BN906" s="384"/>
      <c r="BO906" s="384"/>
      <c r="BP906" s="384"/>
      <c r="BQ906" s="384"/>
      <c r="BR906" s="384"/>
      <c r="BS906" s="384"/>
      <c r="BT906" s="384"/>
      <c r="BU906" s="384"/>
      <c r="BV906" s="384"/>
      <c r="BW906" s="384"/>
      <c r="BX906" s="384"/>
      <c r="BY906" s="384"/>
      <c r="BZ906" s="384"/>
      <c r="CA906" s="384"/>
      <c r="CB906" s="384"/>
      <c r="CC906" s="384"/>
      <c r="CD906" s="384"/>
      <c r="CE906" s="384"/>
      <c r="CF906" s="384"/>
      <c r="CG906" s="384"/>
      <c r="CH906" s="384"/>
      <c r="CI906" s="384"/>
      <c r="CJ906" s="384"/>
      <c r="CK906" s="384"/>
      <c r="CL906" s="384"/>
      <c r="CM906" s="384"/>
      <c r="CN906" s="384"/>
      <c r="CO906" s="384"/>
      <c r="CP906" s="384"/>
      <c r="CQ906" s="384"/>
      <c r="CR906" s="384"/>
      <c r="CS906" s="384"/>
      <c r="CT906" s="384"/>
      <c r="CU906" s="384"/>
      <c r="CV906" s="384"/>
      <c r="CW906" s="384"/>
      <c r="CX906" s="384"/>
      <c r="CY906" s="384"/>
      <c r="CZ906" s="384"/>
      <c r="DA906" s="384"/>
      <c r="DB906" s="384"/>
      <c r="DC906" s="384"/>
      <c r="DD906" s="384"/>
      <c r="DE906" s="384"/>
      <c r="DF906" s="384"/>
      <c r="DG906" s="384"/>
      <c r="DH906" s="384"/>
      <c r="DI906" s="384"/>
      <c r="DJ906" s="384"/>
      <c r="DK906" s="384"/>
      <c r="DL906" s="384"/>
      <c r="DM906" s="384"/>
      <c r="DN906" s="384"/>
      <c r="DO906" s="384"/>
      <c r="DP906" s="384"/>
      <c r="DQ906" s="384"/>
      <c r="DR906" s="384"/>
      <c r="DS906" s="384"/>
      <c r="DT906" s="384"/>
      <c r="DU906" s="384"/>
      <c r="DV906" s="384"/>
      <c r="DW906" s="384"/>
      <c r="DX906" s="384"/>
      <c r="DY906" s="384"/>
      <c r="DZ906" s="384"/>
    </row>
    <row r="907" spans="1:130" hidden="1" outlineLevel="2">
      <c r="A907" s="438"/>
      <c r="B907" s="490"/>
      <c r="C907" s="398"/>
      <c r="D907" s="399"/>
      <c r="E907" s="385"/>
      <c r="F907" s="385"/>
      <c r="G907" s="385"/>
      <c r="H907" s="401" t="s">
        <v>1146</v>
      </c>
      <c r="I907" s="385" t="s">
        <v>438</v>
      </c>
      <c r="J907" s="489" t="s">
        <v>366</v>
      </c>
      <c r="K907" s="412"/>
      <c r="L907" s="412"/>
      <c r="M907" s="490" t="s">
        <v>37</v>
      </c>
      <c r="N907" s="490">
        <v>1</v>
      </c>
    </row>
    <row r="908" spans="1:130" hidden="1" outlineLevel="2">
      <c r="A908" s="438"/>
      <c r="B908" s="490"/>
      <c r="C908" s="398"/>
      <c r="D908" s="399"/>
      <c r="E908" s="385"/>
      <c r="F908" s="385"/>
      <c r="G908" s="385"/>
      <c r="H908" s="401"/>
      <c r="I908" s="385" t="s">
        <v>436</v>
      </c>
      <c r="J908" s="489" t="s">
        <v>365</v>
      </c>
      <c r="K908" s="412"/>
      <c r="L908" s="412"/>
      <c r="M908" s="490" t="s">
        <v>37</v>
      </c>
      <c r="N908" s="490">
        <v>1</v>
      </c>
    </row>
    <row r="909" spans="1:130" hidden="1" outlineLevel="2">
      <c r="A909" s="438"/>
      <c r="B909" s="490"/>
      <c r="C909" s="398"/>
      <c r="D909" s="399"/>
      <c r="E909" s="385"/>
      <c r="F909" s="385"/>
      <c r="G909" s="385"/>
      <c r="H909" s="401"/>
      <c r="I909" s="385" t="s">
        <v>435</v>
      </c>
      <c r="J909" s="489" t="s">
        <v>365</v>
      </c>
      <c r="K909" s="412"/>
      <c r="L909" s="412"/>
      <c r="M909" s="490" t="s">
        <v>37</v>
      </c>
      <c r="N909" s="490">
        <v>1</v>
      </c>
    </row>
    <row r="910" spans="1:130" s="411" customFormat="1" ht="60.75" outlineLevel="1" collapsed="1">
      <c r="A910" s="489" t="s">
        <v>1416</v>
      </c>
      <c r="B910" s="490" t="s">
        <v>298</v>
      </c>
      <c r="C910" s="398" t="s">
        <v>578</v>
      </c>
      <c r="D910" s="399" t="s">
        <v>391</v>
      </c>
      <c r="E910" s="490" t="s">
        <v>1147</v>
      </c>
      <c r="F910" s="385" t="s">
        <v>303</v>
      </c>
      <c r="G910" s="385"/>
      <c r="H910" s="401" t="s">
        <v>1148</v>
      </c>
      <c r="I910" s="385" t="str">
        <f>CONCATENATE(I911," ","(",H911,")","-",N911," ",M911," ",I912," ","(",H912,")","-",N912," ",M912," ",I913," ","(",H913,")","-",N913," ",M913," ",)</f>
        <v xml:space="preserve">Текущий ремонт ТМ (1Т ТМ-250/10  )-1 шт. Ремонт РУ 10-0,4 кВ ()-1 шт. Ремонт строительной части ТП ()-1 шт. </v>
      </c>
      <c r="J910" s="489" t="s">
        <v>365</v>
      </c>
      <c r="K910" s="450">
        <v>44378</v>
      </c>
      <c r="L910" s="450">
        <v>44408</v>
      </c>
      <c r="M910" s="490"/>
      <c r="N910" s="490"/>
      <c r="O910" s="384"/>
      <c r="P910" s="384"/>
      <c r="Q910" s="384"/>
      <c r="R910" s="384"/>
      <c r="S910" s="384"/>
      <c r="T910" s="384"/>
      <c r="U910" s="384"/>
      <c r="V910" s="384"/>
      <c r="W910" s="384"/>
      <c r="X910" s="384"/>
      <c r="Y910" s="384"/>
      <c r="Z910" s="384"/>
      <c r="AA910" s="384"/>
      <c r="AB910" s="384"/>
      <c r="AC910" s="384"/>
      <c r="AD910" s="384"/>
      <c r="AE910" s="384"/>
      <c r="AF910" s="384"/>
      <c r="AG910" s="384"/>
      <c r="AH910" s="384"/>
      <c r="AI910" s="384"/>
      <c r="AJ910" s="384"/>
      <c r="AK910" s="384"/>
      <c r="AL910" s="384"/>
      <c r="AM910" s="384"/>
      <c r="AN910" s="384"/>
      <c r="AO910" s="384"/>
      <c r="AP910" s="384"/>
      <c r="AQ910" s="384"/>
      <c r="AR910" s="384"/>
      <c r="AS910" s="384"/>
      <c r="AT910" s="384"/>
      <c r="AU910" s="384"/>
      <c r="AV910" s="384"/>
      <c r="AW910" s="384"/>
      <c r="AX910" s="384"/>
      <c r="AY910" s="384"/>
      <c r="AZ910" s="384"/>
      <c r="BA910" s="384"/>
      <c r="BB910" s="384"/>
      <c r="BC910" s="384"/>
      <c r="BD910" s="384"/>
      <c r="BE910" s="384"/>
      <c r="BF910" s="384"/>
      <c r="BG910" s="384"/>
      <c r="BH910" s="384"/>
      <c r="BI910" s="384"/>
      <c r="BJ910" s="384"/>
      <c r="BK910" s="384"/>
      <c r="BL910" s="384"/>
      <c r="BM910" s="384"/>
      <c r="BN910" s="384"/>
      <c r="BO910" s="384"/>
      <c r="BP910" s="384"/>
      <c r="BQ910" s="384"/>
      <c r="BR910" s="384"/>
      <c r="BS910" s="384"/>
      <c r="BT910" s="384"/>
      <c r="BU910" s="384"/>
      <c r="BV910" s="384"/>
      <c r="BW910" s="384"/>
      <c r="BX910" s="384"/>
      <c r="BY910" s="384"/>
      <c r="BZ910" s="384"/>
      <c r="CA910" s="384"/>
      <c r="CB910" s="384"/>
      <c r="CC910" s="384"/>
      <c r="CD910" s="384"/>
      <c r="CE910" s="384"/>
      <c r="CF910" s="384"/>
      <c r="CG910" s="384"/>
      <c r="CH910" s="384"/>
      <c r="CI910" s="384"/>
      <c r="CJ910" s="384"/>
      <c r="CK910" s="384"/>
      <c r="CL910" s="384"/>
      <c r="CM910" s="384"/>
      <c r="CN910" s="384"/>
      <c r="CO910" s="384"/>
      <c r="CP910" s="384"/>
      <c r="CQ910" s="384"/>
      <c r="CR910" s="384"/>
      <c r="CS910" s="384"/>
      <c r="CT910" s="384"/>
      <c r="CU910" s="384"/>
      <c r="CV910" s="384"/>
      <c r="CW910" s="384"/>
      <c r="CX910" s="384"/>
      <c r="CY910" s="384"/>
      <c r="CZ910" s="384"/>
      <c r="DA910" s="384"/>
      <c r="DB910" s="384"/>
      <c r="DC910" s="384"/>
      <c r="DD910" s="384"/>
      <c r="DE910" s="384"/>
      <c r="DF910" s="384"/>
      <c r="DG910" s="384"/>
      <c r="DH910" s="384"/>
      <c r="DI910" s="384"/>
      <c r="DJ910" s="384"/>
      <c r="DK910" s="384"/>
      <c r="DL910" s="384"/>
      <c r="DM910" s="384"/>
      <c r="DN910" s="384"/>
      <c r="DO910" s="384"/>
      <c r="DP910" s="384"/>
      <c r="DQ910" s="384"/>
      <c r="DR910" s="384"/>
      <c r="DS910" s="384"/>
      <c r="DT910" s="384"/>
      <c r="DU910" s="384"/>
      <c r="DV910" s="384"/>
      <c r="DW910" s="384"/>
      <c r="DX910" s="384"/>
      <c r="DY910" s="384"/>
      <c r="DZ910" s="384"/>
    </row>
    <row r="911" spans="1:130" hidden="1" outlineLevel="2">
      <c r="A911" s="438"/>
      <c r="B911" s="490"/>
      <c r="C911" s="398"/>
      <c r="D911" s="399"/>
      <c r="E911" s="385"/>
      <c r="F911" s="385"/>
      <c r="G911" s="385"/>
      <c r="H911" s="401" t="s">
        <v>1149</v>
      </c>
      <c r="I911" s="385" t="s">
        <v>438</v>
      </c>
      <c r="J911" s="489" t="s">
        <v>366</v>
      </c>
      <c r="K911" s="412"/>
      <c r="L911" s="412"/>
      <c r="M911" s="490" t="s">
        <v>37</v>
      </c>
      <c r="N911" s="490">
        <v>1</v>
      </c>
    </row>
    <row r="912" spans="1:130" hidden="1" outlineLevel="2">
      <c r="A912" s="438"/>
      <c r="B912" s="490"/>
      <c r="C912" s="398"/>
      <c r="D912" s="399"/>
      <c r="E912" s="385"/>
      <c r="F912" s="385"/>
      <c r="G912" s="385"/>
      <c r="H912" s="401"/>
      <c r="I912" s="385" t="s">
        <v>436</v>
      </c>
      <c r="J912" s="489" t="s">
        <v>365</v>
      </c>
      <c r="K912" s="412"/>
      <c r="L912" s="412"/>
      <c r="M912" s="490" t="s">
        <v>37</v>
      </c>
      <c r="N912" s="490">
        <v>1</v>
      </c>
    </row>
    <row r="913" spans="1:130" hidden="1" outlineLevel="2">
      <c r="A913" s="438"/>
      <c r="B913" s="490"/>
      <c r="C913" s="398"/>
      <c r="D913" s="399"/>
      <c r="E913" s="385"/>
      <c r="F913" s="385"/>
      <c r="G913" s="385"/>
      <c r="H913" s="401"/>
      <c r="I913" s="385" t="s">
        <v>435</v>
      </c>
      <c r="J913" s="489" t="s">
        <v>365</v>
      </c>
      <c r="K913" s="412"/>
      <c r="L913" s="412"/>
      <c r="M913" s="490" t="s">
        <v>37</v>
      </c>
      <c r="N913" s="490">
        <v>1</v>
      </c>
    </row>
    <row r="914" spans="1:130" s="411" customFormat="1" ht="60.75" outlineLevel="1" collapsed="1">
      <c r="A914" s="489" t="s">
        <v>1417</v>
      </c>
      <c r="B914" s="490" t="s">
        <v>298</v>
      </c>
      <c r="C914" s="398" t="s">
        <v>578</v>
      </c>
      <c r="D914" s="399" t="s">
        <v>391</v>
      </c>
      <c r="E914" s="490" t="s">
        <v>1150</v>
      </c>
      <c r="F914" s="385" t="s">
        <v>303</v>
      </c>
      <c r="G914" s="385"/>
      <c r="H914" s="401" t="s">
        <v>1151</v>
      </c>
      <c r="I914" s="385" t="str">
        <f>CONCATENATE(I915," ","(",H915,")","-",N915," ",M915," ",I916," ","(",H916,")","-",N916," ",M916," ",I917," ","(",H917,")","-",N917," ",M917," ",)</f>
        <v xml:space="preserve">Текущий ремонт ТМ (1Т ТМ-315/10)-1 шт. Ремонт РУ 10-0,4 кВ ()-1 шт. Ремонт строительной части ТП ()-1 шт. </v>
      </c>
      <c r="J914" s="489" t="s">
        <v>365</v>
      </c>
      <c r="K914" s="450">
        <v>44440</v>
      </c>
      <c r="L914" s="450">
        <v>44469</v>
      </c>
      <c r="M914" s="490"/>
      <c r="N914" s="490"/>
      <c r="O914" s="384"/>
      <c r="P914" s="384"/>
      <c r="Q914" s="384"/>
      <c r="R914" s="384"/>
      <c r="S914" s="384"/>
      <c r="T914" s="384"/>
      <c r="U914" s="384"/>
      <c r="V914" s="384"/>
      <c r="W914" s="384"/>
      <c r="X914" s="384"/>
      <c r="Y914" s="384"/>
      <c r="Z914" s="384"/>
      <c r="AA914" s="384"/>
      <c r="AB914" s="384"/>
      <c r="AC914" s="384"/>
      <c r="AD914" s="384"/>
      <c r="AE914" s="384"/>
      <c r="AF914" s="384"/>
      <c r="AG914" s="384"/>
      <c r="AH914" s="384"/>
      <c r="AI914" s="384"/>
      <c r="AJ914" s="384"/>
      <c r="AK914" s="384"/>
      <c r="AL914" s="384"/>
      <c r="AM914" s="384"/>
      <c r="AN914" s="384"/>
      <c r="AO914" s="384"/>
      <c r="AP914" s="384"/>
      <c r="AQ914" s="384"/>
      <c r="AR914" s="384"/>
      <c r="AS914" s="384"/>
      <c r="AT914" s="384"/>
      <c r="AU914" s="384"/>
      <c r="AV914" s="384"/>
      <c r="AW914" s="384"/>
      <c r="AX914" s="384"/>
      <c r="AY914" s="384"/>
      <c r="AZ914" s="384"/>
      <c r="BA914" s="384"/>
      <c r="BB914" s="384"/>
      <c r="BC914" s="384"/>
      <c r="BD914" s="384"/>
      <c r="BE914" s="384"/>
      <c r="BF914" s="384"/>
      <c r="BG914" s="384"/>
      <c r="BH914" s="384"/>
      <c r="BI914" s="384"/>
      <c r="BJ914" s="384"/>
      <c r="BK914" s="384"/>
      <c r="BL914" s="384"/>
      <c r="BM914" s="384"/>
      <c r="BN914" s="384"/>
      <c r="BO914" s="384"/>
      <c r="BP914" s="384"/>
      <c r="BQ914" s="384"/>
      <c r="BR914" s="384"/>
      <c r="BS914" s="384"/>
      <c r="BT914" s="384"/>
      <c r="BU914" s="384"/>
      <c r="BV914" s="384"/>
      <c r="BW914" s="384"/>
      <c r="BX914" s="384"/>
      <c r="BY914" s="384"/>
      <c r="BZ914" s="384"/>
      <c r="CA914" s="384"/>
      <c r="CB914" s="384"/>
      <c r="CC914" s="384"/>
      <c r="CD914" s="384"/>
      <c r="CE914" s="384"/>
      <c r="CF914" s="384"/>
      <c r="CG914" s="384"/>
      <c r="CH914" s="384"/>
      <c r="CI914" s="384"/>
      <c r="CJ914" s="384"/>
      <c r="CK914" s="384"/>
      <c r="CL914" s="384"/>
      <c r="CM914" s="384"/>
      <c r="CN914" s="384"/>
      <c r="CO914" s="384"/>
      <c r="CP914" s="384"/>
      <c r="CQ914" s="384"/>
      <c r="CR914" s="384"/>
      <c r="CS914" s="384"/>
      <c r="CT914" s="384"/>
      <c r="CU914" s="384"/>
      <c r="CV914" s="384"/>
      <c r="CW914" s="384"/>
      <c r="CX914" s="384"/>
      <c r="CY914" s="384"/>
      <c r="CZ914" s="384"/>
      <c r="DA914" s="384"/>
      <c r="DB914" s="384"/>
      <c r="DC914" s="384"/>
      <c r="DD914" s="384"/>
      <c r="DE914" s="384"/>
      <c r="DF914" s="384"/>
      <c r="DG914" s="384"/>
      <c r="DH914" s="384"/>
      <c r="DI914" s="384"/>
      <c r="DJ914" s="384"/>
      <c r="DK914" s="384"/>
      <c r="DL914" s="384"/>
      <c r="DM914" s="384"/>
      <c r="DN914" s="384"/>
      <c r="DO914" s="384"/>
      <c r="DP914" s="384"/>
      <c r="DQ914" s="384"/>
      <c r="DR914" s="384"/>
      <c r="DS914" s="384"/>
      <c r="DT914" s="384"/>
      <c r="DU914" s="384"/>
      <c r="DV914" s="384"/>
      <c r="DW914" s="384"/>
      <c r="DX914" s="384"/>
      <c r="DY914" s="384"/>
      <c r="DZ914" s="384"/>
    </row>
    <row r="915" spans="1:130" hidden="1" outlineLevel="2">
      <c r="A915" s="438"/>
      <c r="B915" s="490"/>
      <c r="C915" s="398"/>
      <c r="D915" s="399"/>
      <c r="E915" s="385"/>
      <c r="F915" s="385"/>
      <c r="G915" s="385"/>
      <c r="H915" s="401" t="s">
        <v>1152</v>
      </c>
      <c r="I915" s="385" t="s">
        <v>438</v>
      </c>
      <c r="J915" s="489" t="s">
        <v>366</v>
      </c>
      <c r="K915" s="412"/>
      <c r="L915" s="412"/>
      <c r="M915" s="490" t="s">
        <v>37</v>
      </c>
      <c r="N915" s="490">
        <v>1</v>
      </c>
    </row>
    <row r="916" spans="1:130" hidden="1" outlineLevel="2">
      <c r="A916" s="438"/>
      <c r="B916" s="490"/>
      <c r="C916" s="398"/>
      <c r="D916" s="399"/>
      <c r="E916" s="385"/>
      <c r="F916" s="385"/>
      <c r="G916" s="385"/>
      <c r="H916" s="401"/>
      <c r="I916" s="385" t="s">
        <v>436</v>
      </c>
      <c r="J916" s="489" t="s">
        <v>365</v>
      </c>
      <c r="K916" s="412"/>
      <c r="L916" s="412"/>
      <c r="M916" s="490" t="s">
        <v>37</v>
      </c>
      <c r="N916" s="490">
        <v>1</v>
      </c>
    </row>
    <row r="917" spans="1:130" hidden="1" outlineLevel="2">
      <c r="A917" s="438"/>
      <c r="B917" s="490"/>
      <c r="C917" s="398"/>
      <c r="D917" s="399"/>
      <c r="E917" s="385"/>
      <c r="F917" s="385"/>
      <c r="G917" s="385"/>
      <c r="H917" s="401"/>
      <c r="I917" s="385" t="s">
        <v>435</v>
      </c>
      <c r="J917" s="489" t="s">
        <v>365</v>
      </c>
      <c r="K917" s="412"/>
      <c r="L917" s="412"/>
      <c r="M917" s="490" t="s">
        <v>37</v>
      </c>
      <c r="N917" s="490">
        <v>1</v>
      </c>
    </row>
    <row r="918" spans="1:130" s="411" customFormat="1" ht="60.75" outlineLevel="1" collapsed="1">
      <c r="A918" s="489" t="s">
        <v>1418</v>
      </c>
      <c r="B918" s="490" t="s">
        <v>298</v>
      </c>
      <c r="C918" s="398" t="s">
        <v>578</v>
      </c>
      <c r="D918" s="399" t="s">
        <v>391</v>
      </c>
      <c r="E918" s="385" t="s">
        <v>1153</v>
      </c>
      <c r="F918" s="385" t="s">
        <v>303</v>
      </c>
      <c r="G918" s="385"/>
      <c r="H918" s="401" t="s">
        <v>1154</v>
      </c>
      <c r="I918" s="385" t="str">
        <f>CONCATENATE(I919," ","(",H919,")","-",N919," ",M919," ",I920," ","(",H920,")","-",N920," ",M920," ",I921," ","(",H921,")","-",N921," ",M921," ",)</f>
        <v xml:space="preserve">Текущий ремонт ТМ (1Т ТМ-630/10; 2Т ТМ-630/10)-2 шт. Ремонт РУ 10-0,4 кВ ()-1 шт. Ремонт строительной части ТП ()-1 шт. </v>
      </c>
      <c r="J918" s="489" t="s">
        <v>365</v>
      </c>
      <c r="K918" s="450">
        <v>44378</v>
      </c>
      <c r="L918" s="450">
        <v>44408</v>
      </c>
      <c r="M918" s="490"/>
      <c r="N918" s="490"/>
      <c r="O918" s="384"/>
      <c r="P918" s="384"/>
      <c r="Q918" s="384"/>
      <c r="R918" s="384"/>
      <c r="S918" s="384"/>
      <c r="T918" s="384"/>
      <c r="U918" s="384"/>
      <c r="V918" s="384"/>
      <c r="W918" s="384"/>
      <c r="X918" s="384"/>
      <c r="Y918" s="384"/>
      <c r="Z918" s="384"/>
      <c r="AA918" s="384"/>
      <c r="AB918" s="384"/>
      <c r="AC918" s="384"/>
      <c r="AD918" s="384"/>
      <c r="AE918" s="384"/>
      <c r="AF918" s="384"/>
      <c r="AG918" s="384"/>
      <c r="AH918" s="384"/>
      <c r="AI918" s="384"/>
      <c r="AJ918" s="384"/>
      <c r="AK918" s="384"/>
      <c r="AL918" s="384"/>
      <c r="AM918" s="384"/>
      <c r="AN918" s="384"/>
      <c r="AO918" s="384"/>
      <c r="AP918" s="384"/>
      <c r="AQ918" s="384"/>
      <c r="AR918" s="384"/>
      <c r="AS918" s="384"/>
      <c r="AT918" s="384"/>
      <c r="AU918" s="384"/>
      <c r="AV918" s="384"/>
      <c r="AW918" s="384"/>
      <c r="AX918" s="384"/>
      <c r="AY918" s="384"/>
      <c r="AZ918" s="384"/>
      <c r="BA918" s="384"/>
      <c r="BB918" s="384"/>
      <c r="BC918" s="384"/>
      <c r="BD918" s="384"/>
      <c r="BE918" s="384"/>
      <c r="BF918" s="384"/>
      <c r="BG918" s="384"/>
      <c r="BH918" s="384"/>
      <c r="BI918" s="384"/>
      <c r="BJ918" s="384"/>
      <c r="BK918" s="384"/>
      <c r="BL918" s="384"/>
      <c r="BM918" s="384"/>
      <c r="BN918" s="384"/>
      <c r="BO918" s="384"/>
      <c r="BP918" s="384"/>
      <c r="BQ918" s="384"/>
      <c r="BR918" s="384"/>
      <c r="BS918" s="384"/>
      <c r="BT918" s="384"/>
      <c r="BU918" s="384"/>
      <c r="BV918" s="384"/>
      <c r="BW918" s="384"/>
      <c r="BX918" s="384"/>
      <c r="BY918" s="384"/>
      <c r="BZ918" s="384"/>
      <c r="CA918" s="384"/>
      <c r="CB918" s="384"/>
      <c r="CC918" s="384"/>
      <c r="CD918" s="384"/>
      <c r="CE918" s="384"/>
      <c r="CF918" s="384"/>
      <c r="CG918" s="384"/>
      <c r="CH918" s="384"/>
      <c r="CI918" s="384"/>
      <c r="CJ918" s="384"/>
      <c r="CK918" s="384"/>
      <c r="CL918" s="384"/>
      <c r="CM918" s="384"/>
      <c r="CN918" s="384"/>
      <c r="CO918" s="384"/>
      <c r="CP918" s="384"/>
      <c r="CQ918" s="384"/>
      <c r="CR918" s="384"/>
      <c r="CS918" s="384"/>
      <c r="CT918" s="384"/>
      <c r="CU918" s="384"/>
      <c r="CV918" s="384"/>
      <c r="CW918" s="384"/>
      <c r="CX918" s="384"/>
      <c r="CY918" s="384"/>
      <c r="CZ918" s="384"/>
      <c r="DA918" s="384"/>
      <c r="DB918" s="384"/>
      <c r="DC918" s="384"/>
      <c r="DD918" s="384"/>
      <c r="DE918" s="384"/>
      <c r="DF918" s="384"/>
      <c r="DG918" s="384"/>
      <c r="DH918" s="384"/>
      <c r="DI918" s="384"/>
      <c r="DJ918" s="384"/>
      <c r="DK918" s="384"/>
      <c r="DL918" s="384"/>
      <c r="DM918" s="384"/>
      <c r="DN918" s="384"/>
      <c r="DO918" s="384"/>
      <c r="DP918" s="384"/>
      <c r="DQ918" s="384"/>
      <c r="DR918" s="384"/>
      <c r="DS918" s="384"/>
      <c r="DT918" s="384"/>
      <c r="DU918" s="384"/>
      <c r="DV918" s="384"/>
      <c r="DW918" s="384"/>
      <c r="DX918" s="384"/>
      <c r="DY918" s="384"/>
      <c r="DZ918" s="384"/>
    </row>
    <row r="919" spans="1:130" hidden="1" outlineLevel="2">
      <c r="A919" s="438"/>
      <c r="B919" s="490"/>
      <c r="C919" s="398"/>
      <c r="D919" s="399"/>
      <c r="E919" s="385"/>
      <c r="F919" s="385"/>
      <c r="G919" s="385"/>
      <c r="H919" s="401" t="s">
        <v>1155</v>
      </c>
      <c r="I919" s="385" t="s">
        <v>438</v>
      </c>
      <c r="J919" s="489" t="s">
        <v>366</v>
      </c>
      <c r="K919" s="412"/>
      <c r="L919" s="412"/>
      <c r="M919" s="490" t="s">
        <v>37</v>
      </c>
      <c r="N919" s="490">
        <v>2</v>
      </c>
    </row>
    <row r="920" spans="1:130" hidden="1" outlineLevel="2">
      <c r="A920" s="438"/>
      <c r="B920" s="490"/>
      <c r="C920" s="398"/>
      <c r="D920" s="399"/>
      <c r="E920" s="385"/>
      <c r="F920" s="385"/>
      <c r="G920" s="385"/>
      <c r="H920" s="401"/>
      <c r="I920" s="385" t="s">
        <v>436</v>
      </c>
      <c r="J920" s="489" t="s">
        <v>365</v>
      </c>
      <c r="K920" s="412"/>
      <c r="L920" s="412"/>
      <c r="M920" s="490" t="s">
        <v>37</v>
      </c>
      <c r="N920" s="490">
        <v>1</v>
      </c>
    </row>
    <row r="921" spans="1:130" hidden="1" outlineLevel="2">
      <c r="A921" s="438"/>
      <c r="B921" s="490"/>
      <c r="C921" s="398"/>
      <c r="D921" s="399"/>
      <c r="E921" s="385"/>
      <c r="F921" s="385"/>
      <c r="G921" s="385"/>
      <c r="H921" s="401"/>
      <c r="I921" s="385" t="s">
        <v>435</v>
      </c>
      <c r="J921" s="489" t="s">
        <v>365</v>
      </c>
      <c r="K921" s="412"/>
      <c r="L921" s="412"/>
      <c r="M921" s="490" t="s">
        <v>37</v>
      </c>
      <c r="N921" s="490">
        <v>1</v>
      </c>
    </row>
    <row r="922" spans="1:130" s="411" customFormat="1" ht="60.75" outlineLevel="1" collapsed="1">
      <c r="A922" s="489" t="s">
        <v>1419</v>
      </c>
      <c r="B922" s="490" t="s">
        <v>298</v>
      </c>
      <c r="C922" s="398" t="s">
        <v>578</v>
      </c>
      <c r="D922" s="399" t="s">
        <v>391</v>
      </c>
      <c r="E922" s="385" t="s">
        <v>1156</v>
      </c>
      <c r="F922" s="385" t="s">
        <v>303</v>
      </c>
      <c r="G922" s="385"/>
      <c r="H922" s="401" t="s">
        <v>1157</v>
      </c>
      <c r="I922" s="385" t="str">
        <f>CONCATENATE(I923," ","(",H923,")","-",N923," ",M923," ",I924," ","(",H924,")","-",N924," ",M924," ",I925," ","(",H925,")","-",N925," ",M925," ",)</f>
        <v xml:space="preserve">Текущий ремонт ТМ (1Т ТМ-100/10 )-1 шт. Ремонт РУ 10-0,4 кВ ()-1 шт. Ремонт строительной части ТП ()-1 шт. </v>
      </c>
      <c r="J922" s="489" t="s">
        <v>365</v>
      </c>
      <c r="K922" s="450">
        <v>44317</v>
      </c>
      <c r="L922" s="450">
        <v>44347</v>
      </c>
      <c r="M922" s="490"/>
      <c r="N922" s="490"/>
      <c r="O922" s="384"/>
      <c r="P922" s="384"/>
      <c r="Q922" s="384"/>
      <c r="R922" s="384"/>
      <c r="S922" s="384"/>
      <c r="T922" s="384"/>
      <c r="U922" s="384"/>
      <c r="V922" s="384"/>
      <c r="W922" s="384"/>
      <c r="X922" s="384"/>
      <c r="Y922" s="384"/>
      <c r="Z922" s="384"/>
      <c r="AA922" s="384"/>
      <c r="AB922" s="384"/>
      <c r="AC922" s="384"/>
      <c r="AD922" s="384"/>
      <c r="AE922" s="384"/>
      <c r="AF922" s="384"/>
      <c r="AG922" s="384"/>
      <c r="AH922" s="384"/>
      <c r="AI922" s="384"/>
      <c r="AJ922" s="384"/>
      <c r="AK922" s="384"/>
      <c r="AL922" s="384"/>
      <c r="AM922" s="384"/>
      <c r="AN922" s="384"/>
      <c r="AO922" s="384"/>
      <c r="AP922" s="384"/>
      <c r="AQ922" s="384"/>
      <c r="AR922" s="384"/>
      <c r="AS922" s="384"/>
      <c r="AT922" s="384"/>
      <c r="AU922" s="384"/>
      <c r="AV922" s="384"/>
      <c r="AW922" s="384"/>
      <c r="AX922" s="384"/>
      <c r="AY922" s="384"/>
      <c r="AZ922" s="384"/>
      <c r="BA922" s="384"/>
      <c r="BB922" s="384"/>
      <c r="BC922" s="384"/>
      <c r="BD922" s="384"/>
      <c r="BE922" s="384"/>
      <c r="BF922" s="384"/>
      <c r="BG922" s="384"/>
      <c r="BH922" s="384"/>
      <c r="BI922" s="384"/>
      <c r="BJ922" s="384"/>
      <c r="BK922" s="384"/>
      <c r="BL922" s="384"/>
      <c r="BM922" s="384"/>
      <c r="BN922" s="384"/>
      <c r="BO922" s="384"/>
      <c r="BP922" s="384"/>
      <c r="BQ922" s="384"/>
      <c r="BR922" s="384"/>
      <c r="BS922" s="384"/>
      <c r="BT922" s="384"/>
      <c r="BU922" s="384"/>
      <c r="BV922" s="384"/>
      <c r="BW922" s="384"/>
      <c r="BX922" s="384"/>
      <c r="BY922" s="384"/>
      <c r="BZ922" s="384"/>
      <c r="CA922" s="384"/>
      <c r="CB922" s="384"/>
      <c r="CC922" s="384"/>
      <c r="CD922" s="384"/>
      <c r="CE922" s="384"/>
      <c r="CF922" s="384"/>
      <c r="CG922" s="384"/>
      <c r="CH922" s="384"/>
      <c r="CI922" s="384"/>
      <c r="CJ922" s="384"/>
      <c r="CK922" s="384"/>
      <c r="CL922" s="384"/>
      <c r="CM922" s="384"/>
      <c r="CN922" s="384"/>
      <c r="CO922" s="384"/>
      <c r="CP922" s="384"/>
      <c r="CQ922" s="384"/>
      <c r="CR922" s="384"/>
      <c r="CS922" s="384"/>
      <c r="CT922" s="384"/>
      <c r="CU922" s="384"/>
      <c r="CV922" s="384"/>
      <c r="CW922" s="384"/>
      <c r="CX922" s="384"/>
      <c r="CY922" s="384"/>
      <c r="CZ922" s="384"/>
      <c r="DA922" s="384"/>
      <c r="DB922" s="384"/>
      <c r="DC922" s="384"/>
      <c r="DD922" s="384"/>
      <c r="DE922" s="384"/>
      <c r="DF922" s="384"/>
      <c r="DG922" s="384"/>
      <c r="DH922" s="384"/>
      <c r="DI922" s="384"/>
      <c r="DJ922" s="384"/>
      <c r="DK922" s="384"/>
      <c r="DL922" s="384"/>
      <c r="DM922" s="384"/>
      <c r="DN922" s="384"/>
      <c r="DO922" s="384"/>
      <c r="DP922" s="384"/>
      <c r="DQ922" s="384"/>
      <c r="DR922" s="384"/>
      <c r="DS922" s="384"/>
      <c r="DT922" s="384"/>
      <c r="DU922" s="384"/>
      <c r="DV922" s="384"/>
      <c r="DW922" s="384"/>
      <c r="DX922" s="384"/>
      <c r="DY922" s="384"/>
      <c r="DZ922" s="384"/>
    </row>
    <row r="923" spans="1:130" hidden="1" outlineLevel="2">
      <c r="A923" s="438"/>
      <c r="B923" s="490"/>
      <c r="C923" s="398"/>
      <c r="D923" s="399"/>
      <c r="E923" s="385"/>
      <c r="F923" s="385"/>
      <c r="G923" s="385"/>
      <c r="H923" s="401" t="s">
        <v>1158</v>
      </c>
      <c r="I923" s="385" t="s">
        <v>438</v>
      </c>
      <c r="J923" s="489" t="s">
        <v>366</v>
      </c>
      <c r="K923" s="412"/>
      <c r="L923" s="412"/>
      <c r="M923" s="490" t="s">
        <v>37</v>
      </c>
      <c r="N923" s="490">
        <v>1</v>
      </c>
    </row>
    <row r="924" spans="1:130" hidden="1" outlineLevel="2">
      <c r="A924" s="438"/>
      <c r="B924" s="490"/>
      <c r="C924" s="398"/>
      <c r="D924" s="399"/>
      <c r="E924" s="385"/>
      <c r="F924" s="385"/>
      <c r="G924" s="385"/>
      <c r="H924" s="401"/>
      <c r="I924" s="385" t="s">
        <v>436</v>
      </c>
      <c r="J924" s="489" t="s">
        <v>365</v>
      </c>
      <c r="K924" s="412"/>
      <c r="L924" s="412"/>
      <c r="M924" s="490" t="s">
        <v>37</v>
      </c>
      <c r="N924" s="490">
        <v>1</v>
      </c>
    </row>
    <row r="925" spans="1:130" hidden="1" outlineLevel="2">
      <c r="A925" s="438"/>
      <c r="B925" s="490"/>
      <c r="C925" s="398"/>
      <c r="D925" s="399"/>
      <c r="E925" s="385"/>
      <c r="F925" s="385"/>
      <c r="G925" s="385"/>
      <c r="H925" s="401"/>
      <c r="I925" s="385" t="s">
        <v>435</v>
      </c>
      <c r="J925" s="489" t="s">
        <v>365</v>
      </c>
      <c r="K925" s="412"/>
      <c r="L925" s="412"/>
      <c r="M925" s="490" t="s">
        <v>37</v>
      </c>
      <c r="N925" s="490">
        <v>1</v>
      </c>
    </row>
    <row r="926" spans="1:130" s="411" customFormat="1" ht="60.75" outlineLevel="1" collapsed="1">
      <c r="A926" s="489" t="s">
        <v>1420</v>
      </c>
      <c r="B926" s="490" t="s">
        <v>298</v>
      </c>
      <c r="C926" s="398" t="s">
        <v>578</v>
      </c>
      <c r="D926" s="399" t="s">
        <v>391</v>
      </c>
      <c r="E926" s="385" t="s">
        <v>1159</v>
      </c>
      <c r="F926" s="385" t="s">
        <v>303</v>
      </c>
      <c r="G926" s="385"/>
      <c r="H926" s="401" t="s">
        <v>1160</v>
      </c>
      <c r="I926" s="385" t="str">
        <f>CONCATENATE(I927," ","(",H927,")","-",N927," ",M927," ",I928," ","(",H928,")","-",N928," ",M928," ",I929," ","(",H929,")","-",N929," ",M929," ",)</f>
        <v xml:space="preserve">Текущий ремонт ТМ (1Т ТМ-400/10)-1 шт. Ремонт РУ 10-0,4 кВ ()-1 шт. Ремонт строительной части ТП ()-1 шт. </v>
      </c>
      <c r="J926" s="489" t="s">
        <v>365</v>
      </c>
      <c r="K926" s="450">
        <v>44378</v>
      </c>
      <c r="L926" s="450">
        <v>44408</v>
      </c>
      <c r="M926" s="490"/>
      <c r="N926" s="490"/>
      <c r="O926" s="384"/>
      <c r="P926" s="384"/>
      <c r="Q926" s="384"/>
      <c r="R926" s="384"/>
      <c r="S926" s="384"/>
      <c r="T926" s="384"/>
      <c r="U926" s="384"/>
      <c r="V926" s="384"/>
      <c r="W926" s="384"/>
      <c r="X926" s="384"/>
      <c r="Y926" s="384"/>
      <c r="Z926" s="384"/>
      <c r="AA926" s="384"/>
      <c r="AB926" s="384"/>
      <c r="AC926" s="384"/>
      <c r="AD926" s="384"/>
      <c r="AE926" s="384"/>
      <c r="AF926" s="384"/>
      <c r="AG926" s="384"/>
      <c r="AH926" s="384"/>
      <c r="AI926" s="384"/>
      <c r="AJ926" s="384"/>
      <c r="AK926" s="384"/>
      <c r="AL926" s="384"/>
      <c r="AM926" s="384"/>
      <c r="AN926" s="384"/>
      <c r="AO926" s="384"/>
      <c r="AP926" s="384"/>
      <c r="AQ926" s="384"/>
      <c r="AR926" s="384"/>
      <c r="AS926" s="384"/>
      <c r="AT926" s="384"/>
      <c r="AU926" s="384"/>
      <c r="AV926" s="384"/>
      <c r="AW926" s="384"/>
      <c r="AX926" s="384"/>
      <c r="AY926" s="384"/>
      <c r="AZ926" s="384"/>
      <c r="BA926" s="384"/>
      <c r="BB926" s="384"/>
      <c r="BC926" s="384"/>
      <c r="BD926" s="384"/>
      <c r="BE926" s="384"/>
      <c r="BF926" s="384"/>
      <c r="BG926" s="384"/>
      <c r="BH926" s="384"/>
      <c r="BI926" s="384"/>
      <c r="BJ926" s="384"/>
      <c r="BK926" s="384"/>
      <c r="BL926" s="384"/>
      <c r="BM926" s="384"/>
      <c r="BN926" s="384"/>
      <c r="BO926" s="384"/>
      <c r="BP926" s="384"/>
      <c r="BQ926" s="384"/>
      <c r="BR926" s="384"/>
      <c r="BS926" s="384"/>
      <c r="BT926" s="384"/>
      <c r="BU926" s="384"/>
      <c r="BV926" s="384"/>
      <c r="BW926" s="384"/>
      <c r="BX926" s="384"/>
      <c r="BY926" s="384"/>
      <c r="BZ926" s="384"/>
      <c r="CA926" s="384"/>
      <c r="CB926" s="384"/>
      <c r="CC926" s="384"/>
      <c r="CD926" s="384"/>
      <c r="CE926" s="384"/>
      <c r="CF926" s="384"/>
      <c r="CG926" s="384"/>
      <c r="CH926" s="384"/>
      <c r="CI926" s="384"/>
      <c r="CJ926" s="384"/>
      <c r="CK926" s="384"/>
      <c r="CL926" s="384"/>
      <c r="CM926" s="384"/>
      <c r="CN926" s="384"/>
      <c r="CO926" s="384"/>
      <c r="CP926" s="384"/>
      <c r="CQ926" s="384"/>
      <c r="CR926" s="384"/>
      <c r="CS926" s="384"/>
      <c r="CT926" s="384"/>
      <c r="CU926" s="384"/>
      <c r="CV926" s="384"/>
      <c r="CW926" s="384"/>
      <c r="CX926" s="384"/>
      <c r="CY926" s="384"/>
      <c r="CZ926" s="384"/>
      <c r="DA926" s="384"/>
      <c r="DB926" s="384"/>
      <c r="DC926" s="384"/>
      <c r="DD926" s="384"/>
      <c r="DE926" s="384"/>
      <c r="DF926" s="384"/>
      <c r="DG926" s="384"/>
      <c r="DH926" s="384"/>
      <c r="DI926" s="384"/>
      <c r="DJ926" s="384"/>
      <c r="DK926" s="384"/>
      <c r="DL926" s="384"/>
      <c r="DM926" s="384"/>
      <c r="DN926" s="384"/>
      <c r="DO926" s="384"/>
      <c r="DP926" s="384"/>
      <c r="DQ926" s="384"/>
      <c r="DR926" s="384"/>
      <c r="DS926" s="384"/>
      <c r="DT926" s="384"/>
      <c r="DU926" s="384"/>
      <c r="DV926" s="384"/>
      <c r="DW926" s="384"/>
      <c r="DX926" s="384"/>
      <c r="DY926" s="384"/>
      <c r="DZ926" s="384"/>
    </row>
    <row r="927" spans="1:130" hidden="1" outlineLevel="2">
      <c r="A927" s="438"/>
      <c r="B927" s="490"/>
      <c r="C927" s="398"/>
      <c r="D927" s="399"/>
      <c r="E927" s="385"/>
      <c r="F927" s="385"/>
      <c r="G927" s="385"/>
      <c r="H927" s="401" t="s">
        <v>1161</v>
      </c>
      <c r="I927" s="385" t="s">
        <v>438</v>
      </c>
      <c r="J927" s="489" t="s">
        <v>366</v>
      </c>
      <c r="K927" s="412"/>
      <c r="L927" s="412"/>
      <c r="M927" s="490" t="s">
        <v>37</v>
      </c>
      <c r="N927" s="490">
        <v>1</v>
      </c>
    </row>
    <row r="928" spans="1:130" hidden="1" outlineLevel="2">
      <c r="A928" s="438"/>
      <c r="B928" s="490"/>
      <c r="C928" s="398"/>
      <c r="D928" s="399"/>
      <c r="E928" s="385"/>
      <c r="F928" s="385"/>
      <c r="G928" s="385"/>
      <c r="H928" s="401"/>
      <c r="I928" s="385" t="s">
        <v>436</v>
      </c>
      <c r="J928" s="489" t="s">
        <v>365</v>
      </c>
      <c r="K928" s="412"/>
      <c r="L928" s="412"/>
      <c r="M928" s="490" t="s">
        <v>37</v>
      </c>
      <c r="N928" s="490">
        <v>1</v>
      </c>
    </row>
    <row r="929" spans="1:130" hidden="1" outlineLevel="2">
      <c r="A929" s="438"/>
      <c r="B929" s="490"/>
      <c r="C929" s="398"/>
      <c r="D929" s="399"/>
      <c r="E929" s="385"/>
      <c r="F929" s="385"/>
      <c r="G929" s="385"/>
      <c r="H929" s="401"/>
      <c r="I929" s="385" t="s">
        <v>435</v>
      </c>
      <c r="J929" s="489" t="s">
        <v>365</v>
      </c>
      <c r="K929" s="412"/>
      <c r="L929" s="412"/>
      <c r="M929" s="490" t="s">
        <v>37</v>
      </c>
      <c r="N929" s="490">
        <v>1</v>
      </c>
    </row>
    <row r="930" spans="1:130" s="411" customFormat="1" ht="60.75" outlineLevel="1" collapsed="1">
      <c r="A930" s="489" t="s">
        <v>1421</v>
      </c>
      <c r="B930" s="490" t="s">
        <v>298</v>
      </c>
      <c r="C930" s="398" t="s">
        <v>578</v>
      </c>
      <c r="D930" s="399" t="s">
        <v>391</v>
      </c>
      <c r="E930" s="385" t="s">
        <v>1536</v>
      </c>
      <c r="F930" s="385" t="s">
        <v>303</v>
      </c>
      <c r="G930" s="385"/>
      <c r="H930" s="401" t="s">
        <v>1162</v>
      </c>
      <c r="I930" s="385" t="str">
        <f>CONCATENATE(I931," ","(",H931,")","-",N931," ",M931," ",I932," ","(",H932,")","-",N932," ",M932," ",I933," ","(",H933,")","-",N933," ",M933," ",)</f>
        <v xml:space="preserve">Текущий ремонт ТМ (1Т ТМ-400/10)-1 шт. Ремонт РУ 10-0,4 кВ ()-1 шт. Ремонт строительной части ТП ()-1 шт. </v>
      </c>
      <c r="J930" s="489" t="s">
        <v>365</v>
      </c>
      <c r="K930" s="450">
        <v>44440</v>
      </c>
      <c r="L930" s="450">
        <v>44469</v>
      </c>
      <c r="M930" s="490"/>
      <c r="N930" s="490"/>
      <c r="O930" s="384"/>
      <c r="P930" s="384"/>
      <c r="Q930" s="384"/>
      <c r="R930" s="384"/>
      <c r="S930" s="384"/>
      <c r="T930" s="384"/>
      <c r="U930" s="384"/>
      <c r="V930" s="384"/>
      <c r="W930" s="384"/>
      <c r="X930" s="384"/>
      <c r="Y930" s="384"/>
      <c r="Z930" s="384"/>
      <c r="AA930" s="384"/>
      <c r="AB930" s="384"/>
      <c r="AC930" s="384"/>
      <c r="AD930" s="384"/>
      <c r="AE930" s="384"/>
      <c r="AF930" s="384"/>
      <c r="AG930" s="384"/>
      <c r="AH930" s="384"/>
      <c r="AI930" s="384"/>
      <c r="AJ930" s="384"/>
      <c r="AK930" s="384"/>
      <c r="AL930" s="384"/>
      <c r="AM930" s="384"/>
      <c r="AN930" s="384"/>
      <c r="AO930" s="384"/>
      <c r="AP930" s="384"/>
      <c r="AQ930" s="384"/>
      <c r="AR930" s="384"/>
      <c r="AS930" s="384"/>
      <c r="AT930" s="384"/>
      <c r="AU930" s="384"/>
      <c r="AV930" s="384"/>
      <c r="AW930" s="384"/>
      <c r="AX930" s="384"/>
      <c r="AY930" s="384"/>
      <c r="AZ930" s="384"/>
      <c r="BA930" s="384"/>
      <c r="BB930" s="384"/>
      <c r="BC930" s="384"/>
      <c r="BD930" s="384"/>
      <c r="BE930" s="384"/>
      <c r="BF930" s="384"/>
      <c r="BG930" s="384"/>
      <c r="BH930" s="384"/>
      <c r="BI930" s="384"/>
      <c r="BJ930" s="384"/>
      <c r="BK930" s="384"/>
      <c r="BL930" s="384"/>
      <c r="BM930" s="384"/>
      <c r="BN930" s="384"/>
      <c r="BO930" s="384"/>
      <c r="BP930" s="384"/>
      <c r="BQ930" s="384"/>
      <c r="BR930" s="384"/>
      <c r="BS930" s="384"/>
      <c r="BT930" s="384"/>
      <c r="BU930" s="384"/>
      <c r="BV930" s="384"/>
      <c r="BW930" s="384"/>
      <c r="BX930" s="384"/>
      <c r="BY930" s="384"/>
      <c r="BZ930" s="384"/>
      <c r="CA930" s="384"/>
      <c r="CB930" s="384"/>
      <c r="CC930" s="384"/>
      <c r="CD930" s="384"/>
      <c r="CE930" s="384"/>
      <c r="CF930" s="384"/>
      <c r="CG930" s="384"/>
      <c r="CH930" s="384"/>
      <c r="CI930" s="384"/>
      <c r="CJ930" s="384"/>
      <c r="CK930" s="384"/>
      <c r="CL930" s="384"/>
      <c r="CM930" s="384"/>
      <c r="CN930" s="384"/>
      <c r="CO930" s="384"/>
      <c r="CP930" s="384"/>
      <c r="CQ930" s="384"/>
      <c r="CR930" s="384"/>
      <c r="CS930" s="384"/>
      <c r="CT930" s="384"/>
      <c r="CU930" s="384"/>
      <c r="CV930" s="384"/>
      <c r="CW930" s="384"/>
      <c r="CX930" s="384"/>
      <c r="CY930" s="384"/>
      <c r="CZ930" s="384"/>
      <c r="DA930" s="384"/>
      <c r="DB930" s="384"/>
      <c r="DC930" s="384"/>
      <c r="DD930" s="384"/>
      <c r="DE930" s="384"/>
      <c r="DF930" s="384"/>
      <c r="DG930" s="384"/>
      <c r="DH930" s="384"/>
      <c r="DI930" s="384"/>
      <c r="DJ930" s="384"/>
      <c r="DK930" s="384"/>
      <c r="DL930" s="384"/>
      <c r="DM930" s="384"/>
      <c r="DN930" s="384"/>
      <c r="DO930" s="384"/>
      <c r="DP930" s="384"/>
      <c r="DQ930" s="384"/>
      <c r="DR930" s="384"/>
      <c r="DS930" s="384"/>
      <c r="DT930" s="384"/>
      <c r="DU930" s="384"/>
      <c r="DV930" s="384"/>
      <c r="DW930" s="384"/>
      <c r="DX930" s="384"/>
      <c r="DY930" s="384"/>
      <c r="DZ930" s="384"/>
    </row>
    <row r="931" spans="1:130" hidden="1" outlineLevel="2">
      <c r="A931" s="438"/>
      <c r="B931" s="490"/>
      <c r="C931" s="398"/>
      <c r="D931" s="399"/>
      <c r="E931" s="385"/>
      <c r="F931" s="385"/>
      <c r="G931" s="385"/>
      <c r="H931" s="401" t="s">
        <v>1161</v>
      </c>
      <c r="I931" s="385" t="s">
        <v>438</v>
      </c>
      <c r="J931" s="489" t="s">
        <v>366</v>
      </c>
      <c r="K931" s="412"/>
      <c r="L931" s="412"/>
      <c r="M931" s="490" t="s">
        <v>37</v>
      </c>
      <c r="N931" s="490">
        <v>1</v>
      </c>
    </row>
    <row r="932" spans="1:130" hidden="1" outlineLevel="2">
      <c r="A932" s="438"/>
      <c r="B932" s="490"/>
      <c r="C932" s="398"/>
      <c r="D932" s="399"/>
      <c r="E932" s="385"/>
      <c r="F932" s="385"/>
      <c r="G932" s="385"/>
      <c r="H932" s="401"/>
      <c r="I932" s="385" t="s">
        <v>436</v>
      </c>
      <c r="J932" s="489" t="s">
        <v>365</v>
      </c>
      <c r="K932" s="412"/>
      <c r="L932" s="412"/>
      <c r="M932" s="490" t="s">
        <v>37</v>
      </c>
      <c r="N932" s="490">
        <v>1</v>
      </c>
    </row>
    <row r="933" spans="1:130" hidden="1" outlineLevel="2">
      <c r="A933" s="438"/>
      <c r="B933" s="490"/>
      <c r="C933" s="398"/>
      <c r="D933" s="399"/>
      <c r="E933" s="385"/>
      <c r="F933" s="385"/>
      <c r="G933" s="385"/>
      <c r="H933" s="401"/>
      <c r="I933" s="385" t="s">
        <v>435</v>
      </c>
      <c r="J933" s="489" t="s">
        <v>365</v>
      </c>
      <c r="K933" s="412"/>
      <c r="L933" s="412"/>
      <c r="M933" s="490" t="s">
        <v>37</v>
      </c>
      <c r="N933" s="490">
        <v>1</v>
      </c>
    </row>
    <row r="934" spans="1:130" s="411" customFormat="1" ht="60.75" outlineLevel="1" collapsed="1">
      <c r="A934" s="489" t="s">
        <v>1422</v>
      </c>
      <c r="B934" s="490" t="s">
        <v>298</v>
      </c>
      <c r="C934" s="398" t="s">
        <v>578</v>
      </c>
      <c r="D934" s="399" t="s">
        <v>391</v>
      </c>
      <c r="E934" s="385" t="s">
        <v>1537</v>
      </c>
      <c r="F934" s="385" t="s">
        <v>303</v>
      </c>
      <c r="G934" s="385"/>
      <c r="H934" s="401" t="s">
        <v>1163</v>
      </c>
      <c r="I934" s="385" t="str">
        <f>CONCATENATE(I935," ","(",H935,")","-",N935," ",M935," ",I936," ","(",H936,")","-",N936," ",M936," ",I937," ","(",H937,")","-",N937," ",M937," ",)</f>
        <v xml:space="preserve">Текущий ремонт ТМ (1Т ТМ-400/10)-1 шт. Ремонт РУ 10-0,4 кВ ()-1 шт. Ремонт строительной части ТП ()-1 шт. </v>
      </c>
      <c r="J934" s="489" t="s">
        <v>365</v>
      </c>
      <c r="K934" s="450">
        <v>44440</v>
      </c>
      <c r="L934" s="450">
        <v>44469</v>
      </c>
      <c r="M934" s="490"/>
      <c r="N934" s="490"/>
      <c r="O934" s="384"/>
      <c r="P934" s="384"/>
      <c r="Q934" s="384"/>
      <c r="R934" s="384"/>
      <c r="S934" s="384"/>
      <c r="T934" s="384"/>
      <c r="U934" s="384"/>
      <c r="V934" s="384"/>
      <c r="W934" s="384"/>
      <c r="X934" s="384"/>
      <c r="Y934" s="384"/>
      <c r="Z934" s="384"/>
      <c r="AA934" s="384"/>
      <c r="AB934" s="384"/>
      <c r="AC934" s="384"/>
      <c r="AD934" s="384"/>
      <c r="AE934" s="384"/>
      <c r="AF934" s="384"/>
      <c r="AG934" s="384"/>
      <c r="AH934" s="384"/>
      <c r="AI934" s="384"/>
      <c r="AJ934" s="384"/>
      <c r="AK934" s="384"/>
      <c r="AL934" s="384"/>
      <c r="AM934" s="384"/>
      <c r="AN934" s="384"/>
      <c r="AO934" s="384"/>
      <c r="AP934" s="384"/>
      <c r="AQ934" s="384"/>
      <c r="AR934" s="384"/>
      <c r="AS934" s="384"/>
      <c r="AT934" s="384"/>
      <c r="AU934" s="384"/>
      <c r="AV934" s="384"/>
      <c r="AW934" s="384"/>
      <c r="AX934" s="384"/>
      <c r="AY934" s="384"/>
      <c r="AZ934" s="384"/>
      <c r="BA934" s="384"/>
      <c r="BB934" s="384"/>
      <c r="BC934" s="384"/>
      <c r="BD934" s="384"/>
      <c r="BE934" s="384"/>
      <c r="BF934" s="384"/>
      <c r="BG934" s="384"/>
      <c r="BH934" s="384"/>
      <c r="BI934" s="384"/>
      <c r="BJ934" s="384"/>
      <c r="BK934" s="384"/>
      <c r="BL934" s="384"/>
      <c r="BM934" s="384"/>
      <c r="BN934" s="384"/>
      <c r="BO934" s="384"/>
      <c r="BP934" s="384"/>
      <c r="BQ934" s="384"/>
      <c r="BR934" s="384"/>
      <c r="BS934" s="384"/>
      <c r="BT934" s="384"/>
      <c r="BU934" s="384"/>
      <c r="BV934" s="384"/>
      <c r="BW934" s="384"/>
      <c r="BX934" s="384"/>
      <c r="BY934" s="384"/>
      <c r="BZ934" s="384"/>
      <c r="CA934" s="384"/>
      <c r="CB934" s="384"/>
      <c r="CC934" s="384"/>
      <c r="CD934" s="384"/>
      <c r="CE934" s="384"/>
      <c r="CF934" s="384"/>
      <c r="CG934" s="384"/>
      <c r="CH934" s="384"/>
      <c r="CI934" s="384"/>
      <c r="CJ934" s="384"/>
      <c r="CK934" s="384"/>
      <c r="CL934" s="384"/>
      <c r="CM934" s="384"/>
      <c r="CN934" s="384"/>
      <c r="CO934" s="384"/>
      <c r="CP934" s="384"/>
      <c r="CQ934" s="384"/>
      <c r="CR934" s="384"/>
      <c r="CS934" s="384"/>
      <c r="CT934" s="384"/>
      <c r="CU934" s="384"/>
      <c r="CV934" s="384"/>
      <c r="CW934" s="384"/>
      <c r="CX934" s="384"/>
      <c r="CY934" s="384"/>
      <c r="CZ934" s="384"/>
      <c r="DA934" s="384"/>
      <c r="DB934" s="384"/>
      <c r="DC934" s="384"/>
      <c r="DD934" s="384"/>
      <c r="DE934" s="384"/>
      <c r="DF934" s="384"/>
      <c r="DG934" s="384"/>
      <c r="DH934" s="384"/>
      <c r="DI934" s="384"/>
      <c r="DJ934" s="384"/>
      <c r="DK934" s="384"/>
      <c r="DL934" s="384"/>
      <c r="DM934" s="384"/>
      <c r="DN934" s="384"/>
      <c r="DO934" s="384"/>
      <c r="DP934" s="384"/>
      <c r="DQ934" s="384"/>
      <c r="DR934" s="384"/>
      <c r="DS934" s="384"/>
      <c r="DT934" s="384"/>
      <c r="DU934" s="384"/>
      <c r="DV934" s="384"/>
      <c r="DW934" s="384"/>
      <c r="DX934" s="384"/>
      <c r="DY934" s="384"/>
      <c r="DZ934" s="384"/>
    </row>
    <row r="935" spans="1:130" hidden="1" outlineLevel="2">
      <c r="A935" s="438"/>
      <c r="B935" s="490"/>
      <c r="C935" s="398"/>
      <c r="D935" s="399"/>
      <c r="E935" s="385"/>
      <c r="F935" s="385"/>
      <c r="G935" s="385"/>
      <c r="H935" s="401" t="s">
        <v>1161</v>
      </c>
      <c r="I935" s="385" t="s">
        <v>438</v>
      </c>
      <c r="J935" s="489" t="s">
        <v>366</v>
      </c>
      <c r="K935" s="412"/>
      <c r="L935" s="412"/>
      <c r="M935" s="490" t="s">
        <v>37</v>
      </c>
      <c r="N935" s="490">
        <v>1</v>
      </c>
    </row>
    <row r="936" spans="1:130" hidden="1" outlineLevel="2">
      <c r="A936" s="438"/>
      <c r="B936" s="490"/>
      <c r="C936" s="398"/>
      <c r="D936" s="399"/>
      <c r="E936" s="385"/>
      <c r="F936" s="385"/>
      <c r="G936" s="385"/>
      <c r="H936" s="401"/>
      <c r="I936" s="385" t="s">
        <v>436</v>
      </c>
      <c r="J936" s="489" t="s">
        <v>365</v>
      </c>
      <c r="K936" s="412"/>
      <c r="L936" s="412"/>
      <c r="M936" s="490" t="s">
        <v>37</v>
      </c>
      <c r="N936" s="490">
        <v>1</v>
      </c>
    </row>
    <row r="937" spans="1:130" hidden="1" outlineLevel="2">
      <c r="A937" s="438"/>
      <c r="B937" s="490"/>
      <c r="C937" s="398"/>
      <c r="D937" s="399"/>
      <c r="E937" s="385"/>
      <c r="F937" s="385"/>
      <c r="G937" s="385"/>
      <c r="H937" s="401"/>
      <c r="I937" s="385" t="s">
        <v>435</v>
      </c>
      <c r="J937" s="489" t="s">
        <v>365</v>
      </c>
      <c r="K937" s="412"/>
      <c r="L937" s="412"/>
      <c r="M937" s="490" t="s">
        <v>37</v>
      </c>
      <c r="N937" s="490">
        <v>1</v>
      </c>
    </row>
    <row r="938" spans="1:130" s="411" customFormat="1" ht="40.5" outlineLevel="1" collapsed="1">
      <c r="A938" s="489" t="s">
        <v>1423</v>
      </c>
      <c r="B938" s="490" t="s">
        <v>298</v>
      </c>
      <c r="C938" s="398" t="s">
        <v>578</v>
      </c>
      <c r="D938" s="399" t="s">
        <v>391</v>
      </c>
      <c r="E938" s="385" t="s">
        <v>1164</v>
      </c>
      <c r="F938" s="385" t="s">
        <v>303</v>
      </c>
      <c r="G938" s="385"/>
      <c r="H938" s="401" t="s">
        <v>1165</v>
      </c>
      <c r="I938" s="385" t="str">
        <f>CONCATENATE(I939," ","(",H939,")","-",N939," ",M939," ",I940," ","(",H940,")","-",N940," ",M940," ",I941," ","(",H941,")","-",N941," ",M941," ",)</f>
        <v xml:space="preserve">Текущий ремонт ТМ (1Т ТМ-630/6)-1 шт. Ремонт РУ 10-0,4 кВ ()-1 шт. Ремонт строительной части ТП ()-1 шт. </v>
      </c>
      <c r="J938" s="489" t="s">
        <v>365</v>
      </c>
      <c r="K938" s="450">
        <v>44409</v>
      </c>
      <c r="L938" s="450">
        <v>44409</v>
      </c>
      <c r="M938" s="490"/>
      <c r="N938" s="490"/>
      <c r="O938" s="384"/>
      <c r="P938" s="384"/>
      <c r="Q938" s="384"/>
      <c r="R938" s="384"/>
      <c r="S938" s="384"/>
      <c r="T938" s="384"/>
      <c r="U938" s="384"/>
      <c r="V938" s="384"/>
      <c r="W938" s="384"/>
      <c r="X938" s="384"/>
      <c r="Y938" s="384"/>
      <c r="Z938" s="384"/>
      <c r="AA938" s="384"/>
      <c r="AB938" s="384"/>
      <c r="AC938" s="384"/>
      <c r="AD938" s="384"/>
      <c r="AE938" s="384"/>
      <c r="AF938" s="384"/>
      <c r="AG938" s="384"/>
      <c r="AH938" s="384"/>
      <c r="AI938" s="384"/>
      <c r="AJ938" s="384"/>
      <c r="AK938" s="384"/>
      <c r="AL938" s="384"/>
      <c r="AM938" s="384"/>
      <c r="AN938" s="384"/>
      <c r="AO938" s="384"/>
      <c r="AP938" s="384"/>
      <c r="AQ938" s="384"/>
      <c r="AR938" s="384"/>
      <c r="AS938" s="384"/>
      <c r="AT938" s="384"/>
      <c r="AU938" s="384"/>
      <c r="AV938" s="384"/>
      <c r="AW938" s="384"/>
      <c r="AX938" s="384"/>
      <c r="AY938" s="384"/>
      <c r="AZ938" s="384"/>
      <c r="BA938" s="384"/>
      <c r="BB938" s="384"/>
      <c r="BC938" s="384"/>
      <c r="BD938" s="384"/>
      <c r="BE938" s="384"/>
      <c r="BF938" s="384"/>
      <c r="BG938" s="384"/>
      <c r="BH938" s="384"/>
      <c r="BI938" s="384"/>
      <c r="BJ938" s="384"/>
      <c r="BK938" s="384"/>
      <c r="BL938" s="384"/>
      <c r="BM938" s="384"/>
      <c r="BN938" s="384"/>
      <c r="BO938" s="384"/>
      <c r="BP938" s="384"/>
      <c r="BQ938" s="384"/>
      <c r="BR938" s="384"/>
      <c r="BS938" s="384"/>
      <c r="BT938" s="384"/>
      <c r="BU938" s="384"/>
      <c r="BV938" s="384"/>
      <c r="BW938" s="384"/>
      <c r="BX938" s="384"/>
      <c r="BY938" s="384"/>
      <c r="BZ938" s="384"/>
      <c r="CA938" s="384"/>
      <c r="CB938" s="384"/>
      <c r="CC938" s="384"/>
      <c r="CD938" s="384"/>
      <c r="CE938" s="384"/>
      <c r="CF938" s="384"/>
      <c r="CG938" s="384"/>
      <c r="CH938" s="384"/>
      <c r="CI938" s="384"/>
      <c r="CJ938" s="384"/>
      <c r="CK938" s="384"/>
      <c r="CL938" s="384"/>
      <c r="CM938" s="384"/>
      <c r="CN938" s="384"/>
      <c r="CO938" s="384"/>
      <c r="CP938" s="384"/>
      <c r="CQ938" s="384"/>
      <c r="CR938" s="384"/>
      <c r="CS938" s="384"/>
      <c r="CT938" s="384"/>
      <c r="CU938" s="384"/>
      <c r="CV938" s="384"/>
      <c r="CW938" s="384"/>
      <c r="CX938" s="384"/>
      <c r="CY938" s="384"/>
      <c r="CZ938" s="384"/>
      <c r="DA938" s="384"/>
      <c r="DB938" s="384"/>
      <c r="DC938" s="384"/>
      <c r="DD938" s="384"/>
      <c r="DE938" s="384"/>
      <c r="DF938" s="384"/>
      <c r="DG938" s="384"/>
      <c r="DH938" s="384"/>
      <c r="DI938" s="384"/>
      <c r="DJ938" s="384"/>
      <c r="DK938" s="384"/>
      <c r="DL938" s="384"/>
      <c r="DM938" s="384"/>
      <c r="DN938" s="384"/>
      <c r="DO938" s="384"/>
      <c r="DP938" s="384"/>
      <c r="DQ938" s="384"/>
      <c r="DR938" s="384"/>
      <c r="DS938" s="384"/>
      <c r="DT938" s="384"/>
      <c r="DU938" s="384"/>
      <c r="DV938" s="384"/>
      <c r="DW938" s="384"/>
      <c r="DX938" s="384"/>
      <c r="DY938" s="384"/>
      <c r="DZ938" s="384"/>
    </row>
    <row r="939" spans="1:130" hidden="1" outlineLevel="2">
      <c r="A939" s="438"/>
      <c r="B939" s="490"/>
      <c r="C939" s="398"/>
      <c r="D939" s="399"/>
      <c r="E939" s="385"/>
      <c r="F939" s="385"/>
      <c r="G939" s="385"/>
      <c r="H939" s="401" t="s">
        <v>1166</v>
      </c>
      <c r="I939" s="385" t="s">
        <v>438</v>
      </c>
      <c r="J939" s="489" t="s">
        <v>366</v>
      </c>
      <c r="K939" s="412"/>
      <c r="L939" s="412"/>
      <c r="M939" s="490" t="s">
        <v>37</v>
      </c>
      <c r="N939" s="490">
        <v>1</v>
      </c>
    </row>
    <row r="940" spans="1:130" hidden="1" outlineLevel="2">
      <c r="A940" s="438"/>
      <c r="B940" s="490"/>
      <c r="C940" s="398"/>
      <c r="D940" s="399"/>
      <c r="E940" s="385"/>
      <c r="F940" s="385"/>
      <c r="G940" s="385"/>
      <c r="H940" s="401"/>
      <c r="I940" s="385" t="s">
        <v>436</v>
      </c>
      <c r="J940" s="489" t="s">
        <v>365</v>
      </c>
      <c r="K940" s="412"/>
      <c r="L940" s="412"/>
      <c r="M940" s="490" t="s">
        <v>37</v>
      </c>
      <c r="N940" s="490">
        <v>1</v>
      </c>
    </row>
    <row r="941" spans="1:130" hidden="1" outlineLevel="2">
      <c r="A941" s="438"/>
      <c r="B941" s="490"/>
      <c r="C941" s="398"/>
      <c r="D941" s="399"/>
      <c r="E941" s="385"/>
      <c r="F941" s="385"/>
      <c r="G941" s="385"/>
      <c r="H941" s="401"/>
      <c r="I941" s="385" t="s">
        <v>435</v>
      </c>
      <c r="J941" s="489" t="s">
        <v>365</v>
      </c>
      <c r="K941" s="412"/>
      <c r="L941" s="412"/>
      <c r="M941" s="490" t="s">
        <v>37</v>
      </c>
      <c r="N941" s="490">
        <v>1</v>
      </c>
    </row>
    <row r="942" spans="1:130" s="501" customFormat="1" ht="40.5" outlineLevel="1" collapsed="1">
      <c r="A942" s="489" t="s">
        <v>1424</v>
      </c>
      <c r="B942" s="490" t="s">
        <v>298</v>
      </c>
      <c r="C942" s="398" t="s">
        <v>578</v>
      </c>
      <c r="D942" s="399" t="s">
        <v>391</v>
      </c>
      <c r="E942" s="385" t="s">
        <v>1167</v>
      </c>
      <c r="F942" s="385" t="s">
        <v>303</v>
      </c>
      <c r="G942" s="385"/>
      <c r="H942" s="401" t="s">
        <v>1168</v>
      </c>
      <c r="I942" s="385" t="str">
        <f>CONCATENATE(I943," ","(",H943,")","-",N943," ",M943," ",I944," ","(",H944,")","-",N944," ",M944," ",I945," ","(",H945,")","-",N945," ",M945," ",)</f>
        <v xml:space="preserve">Текущий ремонт ТМ (1Т ТМ-630/6)-1 шт. Ремонт РУ 10-0,4 кВ ()-1 шт. Ремонт строительной части ТП ()-1 шт. </v>
      </c>
      <c r="J942" s="489" t="s">
        <v>365</v>
      </c>
      <c r="K942" s="450">
        <v>44409</v>
      </c>
      <c r="L942" s="450">
        <v>44439</v>
      </c>
      <c r="M942" s="490"/>
      <c r="N942" s="490"/>
      <c r="O942" s="466"/>
      <c r="P942" s="466"/>
      <c r="Q942" s="466"/>
      <c r="R942" s="466"/>
      <c r="S942" s="466"/>
      <c r="T942" s="466"/>
      <c r="U942" s="466"/>
      <c r="V942" s="466"/>
      <c r="W942" s="466"/>
      <c r="X942" s="466"/>
      <c r="Y942" s="466"/>
      <c r="Z942" s="466"/>
      <c r="AA942" s="466"/>
      <c r="AB942" s="466"/>
      <c r="AC942" s="466"/>
      <c r="AD942" s="466"/>
      <c r="AE942" s="466"/>
      <c r="AF942" s="466"/>
      <c r="AG942" s="466"/>
      <c r="AH942" s="466"/>
      <c r="AI942" s="466"/>
      <c r="AJ942" s="466"/>
      <c r="AK942" s="466"/>
      <c r="AL942" s="466"/>
      <c r="AM942" s="466"/>
      <c r="AN942" s="466"/>
      <c r="AO942" s="466"/>
      <c r="AP942" s="466"/>
      <c r="AQ942" s="466"/>
      <c r="AR942" s="466"/>
      <c r="AS942" s="466"/>
      <c r="AT942" s="466"/>
      <c r="AU942" s="466"/>
      <c r="AV942" s="466"/>
      <c r="AW942" s="466"/>
      <c r="AX942" s="466"/>
      <c r="AY942" s="466"/>
      <c r="AZ942" s="466"/>
      <c r="BA942" s="466"/>
      <c r="BB942" s="466"/>
      <c r="BC942" s="466"/>
      <c r="BD942" s="466"/>
      <c r="BE942" s="466"/>
      <c r="BF942" s="466"/>
      <c r="BG942" s="466"/>
      <c r="BH942" s="466"/>
      <c r="BI942" s="466"/>
      <c r="BJ942" s="466"/>
      <c r="BK942" s="466"/>
      <c r="BL942" s="466"/>
      <c r="BM942" s="466"/>
      <c r="BN942" s="466"/>
      <c r="BO942" s="466"/>
      <c r="BP942" s="466"/>
      <c r="BQ942" s="466"/>
      <c r="BR942" s="466"/>
      <c r="BS942" s="466"/>
      <c r="BT942" s="466"/>
      <c r="BU942" s="466"/>
      <c r="BV942" s="466"/>
      <c r="BW942" s="466"/>
      <c r="BX942" s="466"/>
      <c r="BY942" s="466"/>
      <c r="BZ942" s="466"/>
      <c r="CA942" s="466"/>
      <c r="CB942" s="466"/>
      <c r="CC942" s="466"/>
      <c r="CD942" s="466"/>
      <c r="CE942" s="466"/>
      <c r="CF942" s="466"/>
      <c r="CG942" s="466"/>
      <c r="CH942" s="466"/>
      <c r="CI942" s="466"/>
      <c r="CJ942" s="466"/>
      <c r="CK942" s="466"/>
      <c r="CL942" s="466"/>
      <c r="CM942" s="466"/>
      <c r="CN942" s="466"/>
      <c r="CO942" s="466"/>
      <c r="CP942" s="466"/>
      <c r="CQ942" s="466"/>
      <c r="CR942" s="466"/>
      <c r="CS942" s="466"/>
      <c r="CT942" s="466"/>
      <c r="CU942" s="466"/>
      <c r="CV942" s="466"/>
      <c r="CW942" s="466"/>
      <c r="CX942" s="466"/>
      <c r="CY942" s="466"/>
      <c r="CZ942" s="466"/>
      <c r="DA942" s="466"/>
      <c r="DB942" s="466"/>
      <c r="DC942" s="466"/>
      <c r="DD942" s="466"/>
      <c r="DE942" s="466"/>
      <c r="DF942" s="466"/>
      <c r="DG942" s="466"/>
      <c r="DH942" s="466"/>
      <c r="DI942" s="466"/>
      <c r="DJ942" s="466"/>
      <c r="DK942" s="466"/>
      <c r="DL942" s="466"/>
      <c r="DM942" s="466"/>
      <c r="DN942" s="466"/>
      <c r="DO942" s="466"/>
      <c r="DP942" s="466"/>
      <c r="DQ942" s="466"/>
      <c r="DR942" s="466"/>
      <c r="DS942" s="466"/>
      <c r="DT942" s="466"/>
      <c r="DU942" s="466"/>
      <c r="DV942" s="466"/>
      <c r="DW942" s="466"/>
      <c r="DX942" s="466"/>
      <c r="DY942" s="466"/>
      <c r="DZ942" s="466"/>
    </row>
    <row r="943" spans="1:130" hidden="1" outlineLevel="2">
      <c r="A943" s="438"/>
      <c r="B943" s="490"/>
      <c r="C943" s="398"/>
      <c r="D943" s="399"/>
      <c r="E943" s="385"/>
      <c r="F943" s="385"/>
      <c r="G943" s="385"/>
      <c r="H943" s="401" t="s">
        <v>1166</v>
      </c>
      <c r="I943" s="385" t="s">
        <v>438</v>
      </c>
      <c r="J943" s="489" t="s">
        <v>366</v>
      </c>
      <c r="K943" s="412"/>
      <c r="L943" s="412"/>
      <c r="M943" s="490" t="s">
        <v>37</v>
      </c>
      <c r="N943" s="490">
        <v>1</v>
      </c>
    </row>
    <row r="944" spans="1:130" hidden="1" outlineLevel="2">
      <c r="A944" s="438"/>
      <c r="B944" s="490"/>
      <c r="C944" s="398"/>
      <c r="D944" s="399"/>
      <c r="E944" s="385"/>
      <c r="F944" s="385"/>
      <c r="G944" s="385"/>
      <c r="H944" s="401"/>
      <c r="I944" s="385" t="s">
        <v>436</v>
      </c>
      <c r="J944" s="489" t="s">
        <v>365</v>
      </c>
      <c r="K944" s="412"/>
      <c r="L944" s="412"/>
      <c r="M944" s="490" t="s">
        <v>37</v>
      </c>
      <c r="N944" s="490">
        <v>1</v>
      </c>
    </row>
    <row r="945" spans="1:130" hidden="1" outlineLevel="2">
      <c r="A945" s="438"/>
      <c r="B945" s="490"/>
      <c r="C945" s="398"/>
      <c r="D945" s="399"/>
      <c r="E945" s="385"/>
      <c r="F945" s="385"/>
      <c r="G945" s="385"/>
      <c r="H945" s="401"/>
      <c r="I945" s="385" t="s">
        <v>435</v>
      </c>
      <c r="J945" s="489" t="s">
        <v>365</v>
      </c>
      <c r="K945" s="412"/>
      <c r="L945" s="412"/>
      <c r="M945" s="490" t="s">
        <v>37</v>
      </c>
      <c r="N945" s="490">
        <v>1</v>
      </c>
    </row>
    <row r="946" spans="1:130" s="411" customFormat="1" ht="60.75" outlineLevel="1" collapsed="1">
      <c r="A946" s="489" t="s">
        <v>1425</v>
      </c>
      <c r="B946" s="490" t="s">
        <v>298</v>
      </c>
      <c r="C946" s="398" t="s">
        <v>578</v>
      </c>
      <c r="D946" s="399" t="s">
        <v>391</v>
      </c>
      <c r="E946" s="385" t="s">
        <v>1169</v>
      </c>
      <c r="F946" s="385" t="s">
        <v>303</v>
      </c>
      <c r="G946" s="385"/>
      <c r="H946" s="401" t="s">
        <v>1170</v>
      </c>
      <c r="I946" s="385" t="str">
        <f>CONCATENATE(I947," ","(",H947,")","-",N947," ",M947," ",I948," ","(",H948,")","-",N948," ",M948," ",I949," ","(",H949,")","-",N949," ",M949," ",)</f>
        <v xml:space="preserve">Текущий ремонт ТМ (1Т ТМ-400/10 , 2Т ТМ-400/10 )-2 шт. Ремонт РУ 10-0,4 кВ ()-1 шт. Ремонт строительной части ТП ()-1 шт. </v>
      </c>
      <c r="J946" s="489" t="s">
        <v>365</v>
      </c>
      <c r="K946" s="450">
        <v>44378</v>
      </c>
      <c r="L946" s="450">
        <v>44408</v>
      </c>
      <c r="M946" s="490"/>
      <c r="N946" s="490"/>
      <c r="O946" s="384"/>
      <c r="P946" s="384"/>
      <c r="Q946" s="384"/>
      <c r="R946" s="384"/>
      <c r="S946" s="384"/>
      <c r="T946" s="384"/>
      <c r="U946" s="384"/>
      <c r="V946" s="384"/>
      <c r="W946" s="384"/>
      <c r="X946" s="384"/>
      <c r="Y946" s="384"/>
      <c r="Z946" s="384"/>
      <c r="AA946" s="384"/>
      <c r="AB946" s="384"/>
      <c r="AC946" s="384"/>
      <c r="AD946" s="384"/>
      <c r="AE946" s="384"/>
      <c r="AF946" s="384"/>
      <c r="AG946" s="384"/>
      <c r="AH946" s="384"/>
      <c r="AI946" s="384"/>
      <c r="AJ946" s="384"/>
      <c r="AK946" s="384"/>
      <c r="AL946" s="384"/>
      <c r="AM946" s="384"/>
      <c r="AN946" s="384"/>
      <c r="AO946" s="384"/>
      <c r="AP946" s="384"/>
      <c r="AQ946" s="384"/>
      <c r="AR946" s="384"/>
      <c r="AS946" s="384"/>
      <c r="AT946" s="384"/>
      <c r="AU946" s="384"/>
      <c r="AV946" s="384"/>
      <c r="AW946" s="384"/>
      <c r="AX946" s="384"/>
      <c r="AY946" s="384"/>
      <c r="AZ946" s="384"/>
      <c r="BA946" s="384"/>
      <c r="BB946" s="384"/>
      <c r="BC946" s="384"/>
      <c r="BD946" s="384"/>
      <c r="BE946" s="384"/>
      <c r="BF946" s="384"/>
      <c r="BG946" s="384"/>
      <c r="BH946" s="384"/>
      <c r="BI946" s="384"/>
      <c r="BJ946" s="384"/>
      <c r="BK946" s="384"/>
      <c r="BL946" s="384"/>
      <c r="BM946" s="384"/>
      <c r="BN946" s="384"/>
      <c r="BO946" s="384"/>
      <c r="BP946" s="384"/>
      <c r="BQ946" s="384"/>
      <c r="BR946" s="384"/>
      <c r="BS946" s="384"/>
      <c r="BT946" s="384"/>
      <c r="BU946" s="384"/>
      <c r="BV946" s="384"/>
      <c r="BW946" s="384"/>
      <c r="BX946" s="384"/>
      <c r="BY946" s="384"/>
      <c r="BZ946" s="384"/>
      <c r="CA946" s="384"/>
      <c r="CB946" s="384"/>
      <c r="CC946" s="384"/>
      <c r="CD946" s="384"/>
      <c r="CE946" s="384"/>
      <c r="CF946" s="384"/>
      <c r="CG946" s="384"/>
      <c r="CH946" s="384"/>
      <c r="CI946" s="384"/>
      <c r="CJ946" s="384"/>
      <c r="CK946" s="384"/>
      <c r="CL946" s="384"/>
      <c r="CM946" s="384"/>
      <c r="CN946" s="384"/>
      <c r="CO946" s="384"/>
      <c r="CP946" s="384"/>
      <c r="CQ946" s="384"/>
      <c r="CR946" s="384"/>
      <c r="CS946" s="384"/>
      <c r="CT946" s="384"/>
      <c r="CU946" s="384"/>
      <c r="CV946" s="384"/>
      <c r="CW946" s="384"/>
      <c r="CX946" s="384"/>
      <c r="CY946" s="384"/>
      <c r="CZ946" s="384"/>
      <c r="DA946" s="384"/>
      <c r="DB946" s="384"/>
      <c r="DC946" s="384"/>
      <c r="DD946" s="384"/>
      <c r="DE946" s="384"/>
      <c r="DF946" s="384"/>
      <c r="DG946" s="384"/>
      <c r="DH946" s="384"/>
      <c r="DI946" s="384"/>
      <c r="DJ946" s="384"/>
      <c r="DK946" s="384"/>
      <c r="DL946" s="384"/>
      <c r="DM946" s="384"/>
      <c r="DN946" s="384"/>
      <c r="DO946" s="384"/>
      <c r="DP946" s="384"/>
      <c r="DQ946" s="384"/>
      <c r="DR946" s="384"/>
      <c r="DS946" s="384"/>
      <c r="DT946" s="384"/>
      <c r="DU946" s="384"/>
      <c r="DV946" s="384"/>
      <c r="DW946" s="384"/>
      <c r="DX946" s="384"/>
      <c r="DY946" s="384"/>
      <c r="DZ946" s="384"/>
    </row>
    <row r="947" spans="1:130" hidden="1" outlineLevel="2">
      <c r="A947" s="438"/>
      <c r="B947" s="490"/>
      <c r="C947" s="398"/>
      <c r="D947" s="399"/>
      <c r="E947" s="385"/>
      <c r="F947" s="385"/>
      <c r="G947" s="385"/>
      <c r="H947" s="401" t="s">
        <v>1171</v>
      </c>
      <c r="I947" s="385" t="s">
        <v>438</v>
      </c>
      <c r="J947" s="489" t="s">
        <v>366</v>
      </c>
      <c r="K947" s="412"/>
      <c r="L947" s="412"/>
      <c r="M947" s="490" t="s">
        <v>37</v>
      </c>
      <c r="N947" s="490">
        <v>2</v>
      </c>
    </row>
    <row r="948" spans="1:130" hidden="1" outlineLevel="2">
      <c r="A948" s="438"/>
      <c r="B948" s="490"/>
      <c r="C948" s="398"/>
      <c r="D948" s="399"/>
      <c r="E948" s="385"/>
      <c r="F948" s="385"/>
      <c r="G948" s="385"/>
      <c r="H948" s="401"/>
      <c r="I948" s="385" t="s">
        <v>436</v>
      </c>
      <c r="J948" s="489" t="s">
        <v>365</v>
      </c>
      <c r="K948" s="412"/>
      <c r="L948" s="412"/>
      <c r="M948" s="490" t="s">
        <v>37</v>
      </c>
      <c r="N948" s="490">
        <v>1</v>
      </c>
    </row>
    <row r="949" spans="1:130" hidden="1" outlineLevel="2">
      <c r="A949" s="438"/>
      <c r="B949" s="490"/>
      <c r="C949" s="398"/>
      <c r="D949" s="399"/>
      <c r="E949" s="385"/>
      <c r="F949" s="385"/>
      <c r="G949" s="385"/>
      <c r="H949" s="401"/>
      <c r="I949" s="385" t="s">
        <v>435</v>
      </c>
      <c r="J949" s="489" t="s">
        <v>365</v>
      </c>
      <c r="K949" s="412"/>
      <c r="L949" s="412"/>
      <c r="M949" s="490" t="s">
        <v>37</v>
      </c>
      <c r="N949" s="490">
        <v>1</v>
      </c>
    </row>
    <row r="950" spans="1:130" s="411" customFormat="1" ht="40.5" outlineLevel="1" collapsed="1">
      <c r="A950" s="489" t="s">
        <v>1426</v>
      </c>
      <c r="B950" s="490" t="s">
        <v>298</v>
      </c>
      <c r="C950" s="398" t="s">
        <v>578</v>
      </c>
      <c r="D950" s="399" t="s">
        <v>391</v>
      </c>
      <c r="E950" s="385" t="s">
        <v>1172</v>
      </c>
      <c r="F950" s="385" t="s">
        <v>303</v>
      </c>
      <c r="G950" s="385"/>
      <c r="H950" s="401" t="s">
        <v>1173</v>
      </c>
      <c r="I950" s="385" t="str">
        <f>CONCATENATE(I951," ","(",H951,")","-",N951," ",M951," ",I952," ","(",H952,")","-",N952," ",M952," ",I953," ","(",H953,")","-",N953," ",M953," ",)</f>
        <v xml:space="preserve">Текущий ремонт ТМ (1Т ТМ-400/6 )-1 шт. Ремонт РУ 10-0,4 кВ ()-1 шт. Ремонт строительной части ТП ()-1 шт. </v>
      </c>
      <c r="J950" s="489" t="s">
        <v>365</v>
      </c>
      <c r="K950" s="450">
        <v>44409</v>
      </c>
      <c r="L950" s="450">
        <v>44439</v>
      </c>
      <c r="M950" s="490"/>
      <c r="N950" s="490"/>
      <c r="O950" s="384"/>
      <c r="P950" s="384"/>
      <c r="Q950" s="384"/>
      <c r="R950" s="384"/>
      <c r="S950" s="384"/>
      <c r="T950" s="384"/>
      <c r="U950" s="384"/>
      <c r="V950" s="384"/>
      <c r="W950" s="384"/>
      <c r="X950" s="384"/>
      <c r="Y950" s="384"/>
      <c r="Z950" s="384"/>
      <c r="AA950" s="384"/>
      <c r="AB950" s="384"/>
      <c r="AC950" s="384"/>
      <c r="AD950" s="384"/>
      <c r="AE950" s="384"/>
      <c r="AF950" s="384"/>
      <c r="AG950" s="384"/>
      <c r="AH950" s="384"/>
      <c r="AI950" s="384"/>
      <c r="AJ950" s="384"/>
      <c r="AK950" s="384"/>
      <c r="AL950" s="384"/>
      <c r="AM950" s="384"/>
      <c r="AN950" s="384"/>
      <c r="AO950" s="384"/>
      <c r="AP950" s="384"/>
      <c r="AQ950" s="384"/>
      <c r="AR950" s="384"/>
      <c r="AS950" s="384"/>
      <c r="AT950" s="384"/>
      <c r="AU950" s="384"/>
      <c r="AV950" s="384"/>
      <c r="AW950" s="384"/>
      <c r="AX950" s="384"/>
      <c r="AY950" s="384"/>
      <c r="AZ950" s="384"/>
      <c r="BA950" s="384"/>
      <c r="BB950" s="384"/>
      <c r="BC950" s="384"/>
      <c r="BD950" s="384"/>
      <c r="BE950" s="384"/>
      <c r="BF950" s="384"/>
      <c r="BG950" s="384"/>
      <c r="BH950" s="384"/>
      <c r="BI950" s="384"/>
      <c r="BJ950" s="384"/>
      <c r="BK950" s="384"/>
      <c r="BL950" s="384"/>
      <c r="BM950" s="384"/>
      <c r="BN950" s="384"/>
      <c r="BO950" s="384"/>
      <c r="BP950" s="384"/>
      <c r="BQ950" s="384"/>
      <c r="BR950" s="384"/>
      <c r="BS950" s="384"/>
      <c r="BT950" s="384"/>
      <c r="BU950" s="384"/>
      <c r="BV950" s="384"/>
      <c r="BW950" s="384"/>
      <c r="BX950" s="384"/>
      <c r="BY950" s="384"/>
      <c r="BZ950" s="384"/>
      <c r="CA950" s="384"/>
      <c r="CB950" s="384"/>
      <c r="CC950" s="384"/>
      <c r="CD950" s="384"/>
      <c r="CE950" s="384"/>
      <c r="CF950" s="384"/>
      <c r="CG950" s="384"/>
      <c r="CH950" s="384"/>
      <c r="CI950" s="384"/>
      <c r="CJ950" s="384"/>
      <c r="CK950" s="384"/>
      <c r="CL950" s="384"/>
      <c r="CM950" s="384"/>
      <c r="CN950" s="384"/>
      <c r="CO950" s="384"/>
      <c r="CP950" s="384"/>
      <c r="CQ950" s="384"/>
      <c r="CR950" s="384"/>
      <c r="CS950" s="384"/>
      <c r="CT950" s="384"/>
      <c r="CU950" s="384"/>
      <c r="CV950" s="384"/>
      <c r="CW950" s="384"/>
      <c r="CX950" s="384"/>
      <c r="CY950" s="384"/>
      <c r="CZ950" s="384"/>
      <c r="DA950" s="384"/>
      <c r="DB950" s="384"/>
      <c r="DC950" s="384"/>
      <c r="DD950" s="384"/>
      <c r="DE950" s="384"/>
      <c r="DF950" s="384"/>
      <c r="DG950" s="384"/>
      <c r="DH950" s="384"/>
      <c r="DI950" s="384"/>
      <c r="DJ950" s="384"/>
      <c r="DK950" s="384"/>
      <c r="DL950" s="384"/>
      <c r="DM950" s="384"/>
      <c r="DN950" s="384"/>
      <c r="DO950" s="384"/>
      <c r="DP950" s="384"/>
      <c r="DQ950" s="384"/>
      <c r="DR950" s="384"/>
      <c r="DS950" s="384"/>
      <c r="DT950" s="384"/>
      <c r="DU950" s="384"/>
      <c r="DV950" s="384"/>
      <c r="DW950" s="384"/>
      <c r="DX950" s="384"/>
      <c r="DY950" s="384"/>
      <c r="DZ950" s="384"/>
    </row>
    <row r="951" spans="1:130" hidden="1" outlineLevel="2">
      <c r="A951" s="438"/>
      <c r="B951" s="490"/>
      <c r="C951" s="398"/>
      <c r="D951" s="399"/>
      <c r="E951" s="385"/>
      <c r="F951" s="385"/>
      <c r="G951" s="385"/>
      <c r="H951" s="401" t="s">
        <v>1174</v>
      </c>
      <c r="I951" s="385" t="s">
        <v>438</v>
      </c>
      <c r="J951" s="489" t="s">
        <v>366</v>
      </c>
      <c r="K951" s="412"/>
      <c r="L951" s="412"/>
      <c r="M951" s="490" t="s">
        <v>37</v>
      </c>
      <c r="N951" s="490">
        <v>1</v>
      </c>
    </row>
    <row r="952" spans="1:130" hidden="1" outlineLevel="2">
      <c r="A952" s="438"/>
      <c r="B952" s="490"/>
      <c r="C952" s="398"/>
      <c r="D952" s="399"/>
      <c r="E952" s="385"/>
      <c r="F952" s="385"/>
      <c r="G952" s="385"/>
      <c r="H952" s="401"/>
      <c r="I952" s="385" t="s">
        <v>436</v>
      </c>
      <c r="J952" s="489" t="s">
        <v>365</v>
      </c>
      <c r="K952" s="412"/>
      <c r="L952" s="412"/>
      <c r="M952" s="490" t="s">
        <v>37</v>
      </c>
      <c r="N952" s="490">
        <v>1</v>
      </c>
    </row>
    <row r="953" spans="1:130" hidden="1" outlineLevel="2">
      <c r="A953" s="438"/>
      <c r="B953" s="490"/>
      <c r="C953" s="398"/>
      <c r="D953" s="399"/>
      <c r="E953" s="385"/>
      <c r="F953" s="385"/>
      <c r="G953" s="385"/>
      <c r="H953" s="401"/>
      <c r="I953" s="385" t="s">
        <v>435</v>
      </c>
      <c r="J953" s="489" t="s">
        <v>365</v>
      </c>
      <c r="K953" s="412"/>
      <c r="L953" s="412"/>
      <c r="M953" s="490" t="s">
        <v>37</v>
      </c>
      <c r="N953" s="490">
        <v>1</v>
      </c>
    </row>
    <row r="954" spans="1:130" s="411" customFormat="1" ht="40.5" outlineLevel="1" collapsed="1">
      <c r="A954" s="489" t="s">
        <v>1427</v>
      </c>
      <c r="B954" s="490" t="s">
        <v>298</v>
      </c>
      <c r="C954" s="398" t="s">
        <v>578</v>
      </c>
      <c r="D954" s="399" t="s">
        <v>391</v>
      </c>
      <c r="E954" s="385" t="s">
        <v>3390</v>
      </c>
      <c r="F954" s="385" t="s">
        <v>303</v>
      </c>
      <c r="G954" s="385"/>
      <c r="H954" s="401" t="s">
        <v>1175</v>
      </c>
      <c r="I954" s="385" t="str">
        <f>CONCATENATE(I955," ","(",H955,")","-",N955," ",M955," ",I956," ","(",H956,")","-",N956," ",M956," ",I957," ","(",H957,")","-",N957," ",M957," ",)</f>
        <v xml:space="preserve">Текущий ремонт ТМ (1Т ТМ-400/6 )-1 шт. Ремонт РУ 10-0,4 кВ ()-1 шт. Ремонт строительной части ТП ()-1 шт. </v>
      </c>
      <c r="J954" s="489" t="s">
        <v>365</v>
      </c>
      <c r="K954" s="450">
        <v>44348</v>
      </c>
      <c r="L954" s="450">
        <v>44377</v>
      </c>
      <c r="M954" s="490"/>
      <c r="N954" s="490"/>
      <c r="O954" s="384"/>
      <c r="P954" s="384"/>
      <c r="Q954" s="384"/>
      <c r="R954" s="384"/>
      <c r="S954" s="384"/>
      <c r="T954" s="384"/>
      <c r="U954" s="384"/>
      <c r="V954" s="384"/>
      <c r="W954" s="384"/>
      <c r="X954" s="384"/>
      <c r="Y954" s="384"/>
      <c r="Z954" s="384"/>
      <c r="AA954" s="384"/>
      <c r="AB954" s="384"/>
      <c r="AC954" s="384"/>
      <c r="AD954" s="384"/>
      <c r="AE954" s="384"/>
      <c r="AF954" s="384"/>
      <c r="AG954" s="384"/>
      <c r="AH954" s="384"/>
      <c r="AI954" s="384"/>
      <c r="AJ954" s="384"/>
      <c r="AK954" s="384"/>
      <c r="AL954" s="384"/>
      <c r="AM954" s="384"/>
      <c r="AN954" s="384"/>
      <c r="AO954" s="384"/>
      <c r="AP954" s="384"/>
      <c r="AQ954" s="384"/>
      <c r="AR954" s="384"/>
      <c r="AS954" s="384"/>
      <c r="AT954" s="384"/>
      <c r="AU954" s="384"/>
      <c r="AV954" s="384"/>
      <c r="AW954" s="384"/>
      <c r="AX954" s="384"/>
      <c r="AY954" s="384"/>
      <c r="AZ954" s="384"/>
      <c r="BA954" s="384"/>
      <c r="BB954" s="384"/>
      <c r="BC954" s="384"/>
      <c r="BD954" s="384"/>
      <c r="BE954" s="384"/>
      <c r="BF954" s="384"/>
      <c r="BG954" s="384"/>
      <c r="BH954" s="384"/>
      <c r="BI954" s="384"/>
      <c r="BJ954" s="384"/>
      <c r="BK954" s="384"/>
      <c r="BL954" s="384"/>
      <c r="BM954" s="384"/>
      <c r="BN954" s="384"/>
      <c r="BO954" s="384"/>
      <c r="BP954" s="384"/>
      <c r="BQ954" s="384"/>
      <c r="BR954" s="384"/>
      <c r="BS954" s="384"/>
      <c r="BT954" s="384"/>
      <c r="BU954" s="384"/>
      <c r="BV954" s="384"/>
      <c r="BW954" s="384"/>
      <c r="BX954" s="384"/>
      <c r="BY954" s="384"/>
      <c r="BZ954" s="384"/>
      <c r="CA954" s="384"/>
      <c r="CB954" s="384"/>
      <c r="CC954" s="384"/>
      <c r="CD954" s="384"/>
      <c r="CE954" s="384"/>
      <c r="CF954" s="384"/>
      <c r="CG954" s="384"/>
      <c r="CH954" s="384"/>
      <c r="CI954" s="384"/>
      <c r="CJ954" s="384"/>
      <c r="CK954" s="384"/>
      <c r="CL954" s="384"/>
      <c r="CM954" s="384"/>
      <c r="CN954" s="384"/>
      <c r="CO954" s="384"/>
      <c r="CP954" s="384"/>
      <c r="CQ954" s="384"/>
      <c r="CR954" s="384"/>
      <c r="CS954" s="384"/>
      <c r="CT954" s="384"/>
      <c r="CU954" s="384"/>
      <c r="CV954" s="384"/>
      <c r="CW954" s="384"/>
      <c r="CX954" s="384"/>
      <c r="CY954" s="384"/>
      <c r="CZ954" s="384"/>
      <c r="DA954" s="384"/>
      <c r="DB954" s="384"/>
      <c r="DC954" s="384"/>
      <c r="DD954" s="384"/>
      <c r="DE954" s="384"/>
      <c r="DF954" s="384"/>
      <c r="DG954" s="384"/>
      <c r="DH954" s="384"/>
      <c r="DI954" s="384"/>
      <c r="DJ954" s="384"/>
      <c r="DK954" s="384"/>
      <c r="DL954" s="384"/>
      <c r="DM954" s="384"/>
      <c r="DN954" s="384"/>
      <c r="DO954" s="384"/>
      <c r="DP954" s="384"/>
      <c r="DQ954" s="384"/>
      <c r="DR954" s="384"/>
      <c r="DS954" s="384"/>
      <c r="DT954" s="384"/>
      <c r="DU954" s="384"/>
      <c r="DV954" s="384"/>
      <c r="DW954" s="384"/>
      <c r="DX954" s="384"/>
      <c r="DY954" s="384"/>
      <c r="DZ954" s="384"/>
    </row>
    <row r="955" spans="1:130" hidden="1" outlineLevel="2">
      <c r="A955" s="438"/>
      <c r="B955" s="490"/>
      <c r="C955" s="398"/>
      <c r="D955" s="399"/>
      <c r="E955" s="385"/>
      <c r="F955" s="385"/>
      <c r="G955" s="385"/>
      <c r="H955" s="401" t="s">
        <v>1174</v>
      </c>
      <c r="I955" s="385" t="s">
        <v>438</v>
      </c>
      <c r="J955" s="489" t="s">
        <v>366</v>
      </c>
      <c r="K955" s="412"/>
      <c r="L955" s="412"/>
      <c r="M955" s="490" t="s">
        <v>37</v>
      </c>
      <c r="N955" s="490">
        <v>1</v>
      </c>
    </row>
    <row r="956" spans="1:130" hidden="1" outlineLevel="2">
      <c r="A956" s="438"/>
      <c r="B956" s="490"/>
      <c r="C956" s="398"/>
      <c r="D956" s="399"/>
      <c r="E956" s="385"/>
      <c r="F956" s="385"/>
      <c r="G956" s="385"/>
      <c r="H956" s="401"/>
      <c r="I956" s="385" t="s">
        <v>436</v>
      </c>
      <c r="J956" s="489" t="s">
        <v>365</v>
      </c>
      <c r="K956" s="412"/>
      <c r="L956" s="412"/>
      <c r="M956" s="490" t="s">
        <v>37</v>
      </c>
      <c r="N956" s="490">
        <v>1</v>
      </c>
    </row>
    <row r="957" spans="1:130" hidden="1" outlineLevel="2">
      <c r="A957" s="438"/>
      <c r="B957" s="490"/>
      <c r="C957" s="398"/>
      <c r="D957" s="399"/>
      <c r="E957" s="385"/>
      <c r="F957" s="385"/>
      <c r="G957" s="385"/>
      <c r="H957" s="401"/>
      <c r="I957" s="385" t="s">
        <v>435</v>
      </c>
      <c r="J957" s="489" t="s">
        <v>365</v>
      </c>
      <c r="K957" s="412"/>
      <c r="L957" s="412"/>
      <c r="M957" s="490" t="s">
        <v>37</v>
      </c>
      <c r="N957" s="490">
        <v>1</v>
      </c>
    </row>
    <row r="958" spans="1:130" s="411" customFormat="1" ht="40.5" outlineLevel="1" collapsed="1">
      <c r="A958" s="489" t="s">
        <v>2925</v>
      </c>
      <c r="B958" s="490" t="s">
        <v>298</v>
      </c>
      <c r="C958" s="398" t="s">
        <v>698</v>
      </c>
      <c r="D958" s="399" t="s">
        <v>391</v>
      </c>
      <c r="E958" s="490" t="s">
        <v>1176</v>
      </c>
      <c r="F958" s="385" t="s">
        <v>303</v>
      </c>
      <c r="G958" s="385"/>
      <c r="H958" s="401" t="s">
        <v>1141</v>
      </c>
      <c r="I958" s="385" t="str">
        <f>CONCATENATE(I959," ","(",H959,")","-",N959," ",M959," ",)</f>
        <v xml:space="preserve">Капитальный ремонт ТМ (630/10 )-2 шт. </v>
      </c>
      <c r="J958" s="489" t="s">
        <v>365</v>
      </c>
      <c r="K958" s="450">
        <v>44470</v>
      </c>
      <c r="L958" s="450">
        <v>44500</v>
      </c>
      <c r="M958" s="490"/>
      <c r="N958" s="490"/>
      <c r="O958" s="384"/>
      <c r="P958" s="384"/>
      <c r="Q958" s="384"/>
      <c r="R958" s="384"/>
      <c r="S958" s="384"/>
      <c r="T958" s="384"/>
      <c r="U958" s="384"/>
      <c r="V958" s="384"/>
      <c r="W958" s="384"/>
      <c r="X958" s="384"/>
      <c r="Y958" s="384"/>
      <c r="Z958" s="384"/>
      <c r="AA958" s="384"/>
      <c r="AB958" s="384"/>
      <c r="AC958" s="384"/>
      <c r="AD958" s="384"/>
      <c r="AE958" s="384"/>
      <c r="AF958" s="384"/>
      <c r="AG958" s="384"/>
      <c r="AH958" s="384"/>
      <c r="AI958" s="384"/>
      <c r="AJ958" s="384"/>
      <c r="AK958" s="384"/>
      <c r="AL958" s="384"/>
      <c r="AM958" s="384"/>
      <c r="AN958" s="384"/>
      <c r="AO958" s="384"/>
      <c r="AP958" s="384"/>
      <c r="AQ958" s="384"/>
      <c r="AR958" s="384"/>
      <c r="AS958" s="384"/>
      <c r="AT958" s="384"/>
      <c r="AU958" s="384"/>
      <c r="AV958" s="384"/>
      <c r="AW958" s="384"/>
      <c r="AX958" s="384"/>
      <c r="AY958" s="384"/>
      <c r="AZ958" s="384"/>
      <c r="BA958" s="384"/>
      <c r="BB958" s="384"/>
      <c r="BC958" s="384"/>
      <c r="BD958" s="384"/>
      <c r="BE958" s="384"/>
      <c r="BF958" s="384"/>
      <c r="BG958" s="384"/>
      <c r="BH958" s="384"/>
      <c r="BI958" s="384"/>
      <c r="BJ958" s="384"/>
      <c r="BK958" s="384"/>
      <c r="BL958" s="384"/>
      <c r="BM958" s="384"/>
      <c r="BN958" s="384"/>
      <c r="BO958" s="384"/>
      <c r="BP958" s="384"/>
      <c r="BQ958" s="384"/>
      <c r="BR958" s="384"/>
      <c r="BS958" s="384"/>
      <c r="BT958" s="384"/>
      <c r="BU958" s="384"/>
      <c r="BV958" s="384"/>
      <c r="BW958" s="384"/>
      <c r="BX958" s="384"/>
      <c r="BY958" s="384"/>
      <c r="BZ958" s="384"/>
      <c r="CA958" s="384"/>
      <c r="CB958" s="384"/>
      <c r="CC958" s="384"/>
      <c r="CD958" s="384"/>
      <c r="CE958" s="384"/>
      <c r="CF958" s="384"/>
      <c r="CG958" s="384"/>
      <c r="CH958" s="384"/>
      <c r="CI958" s="384"/>
      <c r="CJ958" s="384"/>
      <c r="CK958" s="384"/>
      <c r="CL958" s="384"/>
      <c r="CM958" s="384"/>
      <c r="CN958" s="384"/>
      <c r="CO958" s="384"/>
      <c r="CP958" s="384"/>
      <c r="CQ958" s="384"/>
      <c r="CR958" s="384"/>
      <c r="CS958" s="384"/>
      <c r="CT958" s="384"/>
      <c r="CU958" s="384"/>
      <c r="CV958" s="384"/>
      <c r="CW958" s="384"/>
      <c r="CX958" s="384"/>
      <c r="CY958" s="384"/>
      <c r="CZ958" s="384"/>
      <c r="DA958" s="384"/>
      <c r="DB958" s="384"/>
      <c r="DC958" s="384"/>
      <c r="DD958" s="384"/>
      <c r="DE958" s="384"/>
      <c r="DF958" s="384"/>
      <c r="DG958" s="384"/>
      <c r="DH958" s="384"/>
      <c r="DI958" s="384"/>
      <c r="DJ958" s="384"/>
      <c r="DK958" s="384"/>
      <c r="DL958" s="384"/>
      <c r="DM958" s="384"/>
      <c r="DN958" s="384"/>
      <c r="DO958" s="384"/>
      <c r="DP958" s="384"/>
      <c r="DQ958" s="384"/>
      <c r="DR958" s="384"/>
      <c r="DS958" s="384"/>
      <c r="DT958" s="384"/>
      <c r="DU958" s="384"/>
      <c r="DV958" s="384"/>
      <c r="DW958" s="384"/>
      <c r="DX958" s="384"/>
      <c r="DY958" s="384"/>
      <c r="DZ958" s="384"/>
    </row>
    <row r="959" spans="1:130" hidden="1" outlineLevel="2">
      <c r="A959" s="438"/>
      <c r="B959" s="490"/>
      <c r="C959" s="398"/>
      <c r="D959" s="399"/>
      <c r="E959" s="385"/>
      <c r="F959" s="385"/>
      <c r="G959" s="385"/>
      <c r="H959" s="401" t="s">
        <v>1177</v>
      </c>
      <c r="I959" s="385" t="s">
        <v>1178</v>
      </c>
      <c r="J959" s="489" t="s">
        <v>365</v>
      </c>
      <c r="K959" s="412"/>
      <c r="L959" s="412"/>
      <c r="M959" s="490" t="s">
        <v>37</v>
      </c>
      <c r="N959" s="490">
        <v>2</v>
      </c>
    </row>
    <row r="960" spans="1:130" s="393" customFormat="1">
      <c r="A960" s="403" t="s">
        <v>334</v>
      </c>
      <c r="B960" s="403"/>
      <c r="C960" s="403"/>
      <c r="D960" s="403"/>
      <c r="E960" s="490"/>
      <c r="F960" s="385"/>
      <c r="G960" s="385"/>
      <c r="H960" s="539" t="s">
        <v>333</v>
      </c>
      <c r="I960" s="385"/>
      <c r="J960" s="489"/>
      <c r="K960" s="412"/>
      <c r="L960" s="412"/>
      <c r="M960" s="389"/>
      <c r="N960" s="389"/>
      <c r="O960" s="377"/>
      <c r="P960" s="377"/>
      <c r="Q960" s="377"/>
      <c r="R960" s="377"/>
      <c r="S960" s="377"/>
      <c r="T960" s="377"/>
      <c r="U960" s="377"/>
      <c r="V960" s="377"/>
      <c r="W960" s="377"/>
      <c r="X960" s="377"/>
      <c r="Y960" s="377"/>
      <c r="Z960" s="377"/>
      <c r="AA960" s="377"/>
      <c r="AB960" s="377"/>
      <c r="AC960" s="377"/>
      <c r="AD960" s="377"/>
      <c r="AE960" s="377"/>
      <c r="AF960" s="377"/>
      <c r="AG960" s="377"/>
      <c r="AH960" s="377"/>
      <c r="AI960" s="377"/>
      <c r="AJ960" s="377"/>
      <c r="AK960" s="377"/>
      <c r="AL960" s="377"/>
      <c r="AM960" s="377"/>
      <c r="AN960" s="377"/>
      <c r="AO960" s="377"/>
      <c r="AP960" s="377"/>
      <c r="AQ960" s="377"/>
      <c r="AR960" s="377"/>
      <c r="AS960" s="377"/>
      <c r="AT960" s="377"/>
      <c r="AU960" s="377"/>
      <c r="AV960" s="377"/>
      <c r="AW960" s="377"/>
      <c r="AX960" s="377"/>
      <c r="AY960" s="377"/>
      <c r="AZ960" s="377"/>
      <c r="BA960" s="377"/>
      <c r="BB960" s="377"/>
      <c r="BC960" s="377"/>
      <c r="BD960" s="377"/>
      <c r="BE960" s="377"/>
      <c r="BF960" s="377"/>
      <c r="BG960" s="377"/>
      <c r="BH960" s="377"/>
      <c r="BI960" s="377"/>
      <c r="BJ960" s="377"/>
      <c r="BK960" s="377"/>
      <c r="BL960" s="377"/>
      <c r="BM960" s="377"/>
      <c r="BN960" s="377"/>
      <c r="BO960" s="377"/>
      <c r="BP960" s="377"/>
      <c r="BQ960" s="377"/>
      <c r="BR960" s="377"/>
      <c r="BS960" s="377"/>
      <c r="BT960" s="377"/>
      <c r="BU960" s="377"/>
      <c r="BV960" s="377"/>
      <c r="BW960" s="377"/>
      <c r="BX960" s="377"/>
      <c r="BY960" s="377"/>
      <c r="BZ960" s="377"/>
      <c r="CA960" s="377"/>
      <c r="CB960" s="377"/>
      <c r="CC960" s="377"/>
      <c r="CD960" s="377"/>
      <c r="CE960" s="377"/>
      <c r="CF960" s="377"/>
      <c r="CG960" s="377"/>
      <c r="CH960" s="377"/>
      <c r="CI960" s="377"/>
      <c r="CJ960" s="377"/>
      <c r="CK960" s="377"/>
      <c r="CL960" s="377"/>
      <c r="CM960" s="377"/>
      <c r="CN960" s="377"/>
      <c r="CO960" s="377"/>
      <c r="CP960" s="377"/>
      <c r="CQ960" s="377"/>
      <c r="CR960" s="377"/>
      <c r="CS960" s="377"/>
      <c r="CT960" s="377"/>
      <c r="CU960" s="377"/>
      <c r="CV960" s="377"/>
      <c r="CW960" s="377"/>
      <c r="CX960" s="377"/>
      <c r="CY960" s="377"/>
      <c r="CZ960" s="377"/>
      <c r="DA960" s="377"/>
      <c r="DB960" s="377"/>
      <c r="DC960" s="377"/>
      <c r="DD960" s="377"/>
      <c r="DE960" s="377"/>
      <c r="DF960" s="377"/>
      <c r="DG960" s="377"/>
      <c r="DH960" s="377"/>
      <c r="DI960" s="377"/>
      <c r="DJ960" s="377"/>
      <c r="DK960" s="377"/>
      <c r="DL960" s="377"/>
      <c r="DM960" s="377"/>
      <c r="DN960" s="377"/>
      <c r="DO960" s="377"/>
      <c r="DP960" s="377"/>
      <c r="DQ960" s="377"/>
      <c r="DR960" s="377"/>
      <c r="DS960" s="377"/>
      <c r="DT960" s="377"/>
      <c r="DU960" s="377"/>
      <c r="DV960" s="377"/>
      <c r="DW960" s="377"/>
      <c r="DX960" s="377"/>
      <c r="DY960" s="377"/>
      <c r="DZ960" s="377"/>
    </row>
    <row r="961" spans="1:130" s="416" customFormat="1" outlineLevel="1" collapsed="1">
      <c r="A961" s="403" t="s">
        <v>335</v>
      </c>
      <c r="B961" s="403"/>
      <c r="C961" s="403"/>
      <c r="D961" s="403"/>
      <c r="E961" s="490"/>
      <c r="F961" s="385"/>
      <c r="G961" s="385"/>
      <c r="H961" s="385" t="s">
        <v>56</v>
      </c>
      <c r="I961" s="385"/>
      <c r="J961" s="489"/>
      <c r="K961" s="412"/>
      <c r="L961" s="412"/>
      <c r="M961" s="490"/>
      <c r="N961" s="490"/>
      <c r="O961" s="377"/>
      <c r="P961" s="377"/>
      <c r="Q961" s="377"/>
      <c r="R961" s="377"/>
      <c r="S961" s="377"/>
      <c r="T961" s="377"/>
      <c r="U961" s="377"/>
      <c r="V961" s="377"/>
      <c r="W961" s="377"/>
      <c r="X961" s="377"/>
      <c r="Y961" s="377"/>
      <c r="Z961" s="377"/>
      <c r="AA961" s="377"/>
      <c r="AB961" s="377"/>
      <c r="AC961" s="377"/>
      <c r="AD961" s="377"/>
      <c r="AE961" s="377"/>
      <c r="AF961" s="377"/>
      <c r="AG961" s="377"/>
      <c r="AH961" s="377"/>
      <c r="AI961" s="377"/>
      <c r="AJ961" s="377"/>
      <c r="AK961" s="377"/>
      <c r="AL961" s="377"/>
      <c r="AM961" s="377"/>
      <c r="AN961" s="377"/>
      <c r="AO961" s="377"/>
      <c r="AP961" s="377"/>
      <c r="AQ961" s="377"/>
      <c r="AR961" s="377"/>
      <c r="AS961" s="377"/>
      <c r="AT961" s="377"/>
      <c r="AU961" s="377"/>
      <c r="AV961" s="377"/>
      <c r="AW961" s="377"/>
      <c r="AX961" s="377"/>
      <c r="AY961" s="377"/>
      <c r="AZ961" s="377"/>
      <c r="BA961" s="377"/>
      <c r="BB961" s="377"/>
      <c r="BC961" s="377"/>
      <c r="BD961" s="377"/>
      <c r="BE961" s="377"/>
      <c r="BF961" s="377"/>
      <c r="BG961" s="377"/>
      <c r="BH961" s="377"/>
      <c r="BI961" s="377"/>
      <c r="BJ961" s="377"/>
      <c r="BK961" s="377"/>
      <c r="BL961" s="377"/>
      <c r="BM961" s="377"/>
      <c r="BN961" s="377"/>
      <c r="BO961" s="377"/>
      <c r="BP961" s="377"/>
      <c r="BQ961" s="377"/>
      <c r="BR961" s="377"/>
      <c r="BS961" s="377"/>
      <c r="BT961" s="377"/>
      <c r="BU961" s="377"/>
      <c r="BV961" s="377"/>
      <c r="BW961" s="377"/>
      <c r="BX961" s="377"/>
      <c r="BY961" s="377"/>
      <c r="BZ961" s="377"/>
      <c r="CA961" s="377"/>
      <c r="CB961" s="377"/>
      <c r="CC961" s="377"/>
      <c r="CD961" s="377"/>
      <c r="CE961" s="377"/>
      <c r="CF961" s="377"/>
      <c r="CG961" s="377"/>
      <c r="CH961" s="377"/>
      <c r="CI961" s="377"/>
      <c r="CJ961" s="377"/>
      <c r="CK961" s="377"/>
      <c r="CL961" s="377"/>
      <c r="CM961" s="377"/>
      <c r="CN961" s="377"/>
      <c r="CO961" s="377"/>
      <c r="CP961" s="377"/>
      <c r="CQ961" s="377"/>
      <c r="CR961" s="377"/>
      <c r="CS961" s="377"/>
      <c r="CT961" s="377"/>
      <c r="CU961" s="377"/>
      <c r="CV961" s="377"/>
      <c r="CW961" s="377"/>
      <c r="CX961" s="377"/>
      <c r="CY961" s="377"/>
      <c r="CZ961" s="377"/>
      <c r="DA961" s="377"/>
      <c r="DB961" s="377"/>
      <c r="DC961" s="377"/>
      <c r="DD961" s="377"/>
      <c r="DE961" s="377"/>
      <c r="DF961" s="377"/>
      <c r="DG961" s="377"/>
      <c r="DH961" s="377"/>
      <c r="DI961" s="377"/>
      <c r="DJ961" s="377"/>
      <c r="DK961" s="377"/>
      <c r="DL961" s="377"/>
      <c r="DM961" s="377"/>
      <c r="DN961" s="377"/>
      <c r="DO961" s="377"/>
      <c r="DP961" s="377"/>
      <c r="DQ961" s="377"/>
      <c r="DR961" s="377"/>
      <c r="DS961" s="377"/>
      <c r="DT961" s="377"/>
      <c r="DU961" s="377"/>
      <c r="DV961" s="377"/>
      <c r="DW961" s="377"/>
      <c r="DX961" s="377"/>
      <c r="DY961" s="377"/>
      <c r="DZ961" s="377"/>
    </row>
    <row r="962" spans="1:130" s="411" customFormat="1" ht="40.5" hidden="1" outlineLevel="2" collapsed="1">
      <c r="A962" s="489" t="s">
        <v>1428</v>
      </c>
      <c r="B962" s="490"/>
      <c r="C962" s="398" t="s">
        <v>408</v>
      </c>
      <c r="D962" s="399" t="s">
        <v>391</v>
      </c>
      <c r="E962" s="490" t="s">
        <v>1543</v>
      </c>
      <c r="F962" s="385" t="s">
        <v>303</v>
      </c>
      <c r="G962" s="385"/>
      <c r="H962" s="401" t="s">
        <v>3391</v>
      </c>
      <c r="I962" s="385" t="str">
        <f>CONCATENATE(I963," ",N963,M963," ",)</f>
        <v xml:space="preserve">Замена топливного бака 2шт. </v>
      </c>
      <c r="J962" s="489" t="s">
        <v>365</v>
      </c>
      <c r="K962" s="450">
        <v>44348</v>
      </c>
      <c r="L962" s="450">
        <v>44500</v>
      </c>
      <c r="M962" s="490"/>
      <c r="N962" s="490"/>
      <c r="O962" s="384"/>
      <c r="P962" s="384"/>
      <c r="Q962" s="384"/>
      <c r="R962" s="384"/>
      <c r="S962" s="384"/>
      <c r="T962" s="384"/>
      <c r="U962" s="384"/>
      <c r="V962" s="384"/>
      <c r="W962" s="384"/>
      <c r="X962" s="384"/>
      <c r="Y962" s="384"/>
      <c r="Z962" s="384"/>
      <c r="AA962" s="384"/>
      <c r="AB962" s="384"/>
      <c r="AC962" s="384"/>
      <c r="AD962" s="384"/>
      <c r="AE962" s="384"/>
      <c r="AF962" s="384"/>
      <c r="AG962" s="384"/>
      <c r="AH962" s="384"/>
      <c r="AI962" s="384"/>
      <c r="AJ962" s="384"/>
      <c r="AK962" s="384"/>
      <c r="AL962" s="384"/>
      <c r="AM962" s="384"/>
      <c r="AN962" s="384"/>
      <c r="AO962" s="384"/>
      <c r="AP962" s="384"/>
      <c r="AQ962" s="384"/>
      <c r="AR962" s="384"/>
      <c r="AS962" s="384"/>
      <c r="AT962" s="384"/>
      <c r="AU962" s="384"/>
      <c r="AV962" s="384"/>
      <c r="AW962" s="384"/>
      <c r="AX962" s="384"/>
      <c r="AY962" s="384"/>
      <c r="AZ962" s="384"/>
      <c r="BA962" s="384"/>
      <c r="BB962" s="384"/>
      <c r="BC962" s="384"/>
      <c r="BD962" s="384"/>
      <c r="BE962" s="384"/>
      <c r="BF962" s="384"/>
      <c r="BG962" s="384"/>
      <c r="BH962" s="384"/>
      <c r="BI962" s="384"/>
      <c r="BJ962" s="384"/>
      <c r="BK962" s="384"/>
      <c r="BL962" s="384"/>
      <c r="BM962" s="384"/>
      <c r="BN962" s="384"/>
      <c r="BO962" s="384"/>
      <c r="BP962" s="384"/>
      <c r="BQ962" s="384"/>
      <c r="BR962" s="384"/>
      <c r="BS962" s="384"/>
      <c r="BT962" s="384"/>
      <c r="BU962" s="384"/>
      <c r="BV962" s="384"/>
      <c r="BW962" s="384"/>
      <c r="BX962" s="384"/>
      <c r="BY962" s="384"/>
      <c r="BZ962" s="384"/>
      <c r="CA962" s="384"/>
      <c r="CB962" s="384"/>
      <c r="CC962" s="384"/>
      <c r="CD962" s="384"/>
      <c r="CE962" s="384"/>
      <c r="CF962" s="384"/>
      <c r="CG962" s="384"/>
      <c r="CH962" s="384"/>
      <c r="CI962" s="384"/>
      <c r="CJ962" s="384"/>
      <c r="CK962" s="384"/>
      <c r="CL962" s="384"/>
      <c r="CM962" s="384"/>
      <c r="CN962" s="384"/>
      <c r="CO962" s="384"/>
      <c r="CP962" s="384"/>
      <c r="CQ962" s="384"/>
      <c r="CR962" s="384"/>
      <c r="CS962" s="384"/>
      <c r="CT962" s="384"/>
      <c r="CU962" s="384"/>
      <c r="CV962" s="384"/>
      <c r="CW962" s="384"/>
      <c r="CX962" s="384"/>
      <c r="CY962" s="384"/>
      <c r="CZ962" s="384"/>
      <c r="DA962" s="384"/>
      <c r="DB962" s="384"/>
      <c r="DC962" s="384"/>
      <c r="DD962" s="384"/>
      <c r="DE962" s="384"/>
      <c r="DF962" s="384"/>
      <c r="DG962" s="384"/>
      <c r="DH962" s="384"/>
      <c r="DI962" s="384"/>
      <c r="DJ962" s="384"/>
      <c r="DK962" s="384"/>
      <c r="DL962" s="384"/>
      <c r="DM962" s="384"/>
      <c r="DN962" s="384"/>
      <c r="DO962" s="384"/>
      <c r="DP962" s="384"/>
      <c r="DQ962" s="384"/>
      <c r="DR962" s="384"/>
      <c r="DS962" s="384"/>
      <c r="DT962" s="384"/>
      <c r="DU962" s="384"/>
      <c r="DV962" s="384"/>
      <c r="DW962" s="384"/>
      <c r="DX962" s="384"/>
      <c r="DY962" s="384"/>
      <c r="DZ962" s="384"/>
    </row>
    <row r="963" spans="1:130" hidden="1" outlineLevel="3">
      <c r="A963" s="438"/>
      <c r="B963" s="490"/>
      <c r="C963" s="398"/>
      <c r="D963" s="399"/>
      <c r="E963" s="385"/>
      <c r="F963" s="385"/>
      <c r="G963" s="385"/>
      <c r="H963" s="401"/>
      <c r="I963" s="385" t="s">
        <v>1621</v>
      </c>
      <c r="J963" s="489" t="s">
        <v>365</v>
      </c>
      <c r="K963" s="412"/>
      <c r="L963" s="412"/>
      <c r="M963" s="490" t="s">
        <v>37</v>
      </c>
      <c r="N963" s="490">
        <v>2</v>
      </c>
    </row>
    <row r="964" spans="1:130" s="411" customFormat="1" ht="40.5" hidden="1" outlineLevel="2" collapsed="1">
      <c r="A964" s="489" t="s">
        <v>1429</v>
      </c>
      <c r="B964" s="490"/>
      <c r="C964" s="398" t="s">
        <v>408</v>
      </c>
      <c r="D964" s="399" t="s">
        <v>391</v>
      </c>
      <c r="E964" s="490" t="s">
        <v>1544</v>
      </c>
      <c r="F964" s="385" t="s">
        <v>303</v>
      </c>
      <c r="G964" s="385"/>
      <c r="H964" s="401" t="s">
        <v>1664</v>
      </c>
      <c r="I964" s="385" t="str">
        <f>CONCATENATE(I965," ",N965,M965," ",)</f>
        <v xml:space="preserve">Замена гидроусилителя рулевого управления 1шт. </v>
      </c>
      <c r="J964" s="489" t="s">
        <v>365</v>
      </c>
      <c r="K964" s="450">
        <v>44348</v>
      </c>
      <c r="L964" s="450">
        <v>44500</v>
      </c>
      <c r="M964" s="490"/>
      <c r="N964" s="490"/>
      <c r="O964" s="384"/>
      <c r="P964" s="384"/>
      <c r="Q964" s="384"/>
      <c r="R964" s="384"/>
      <c r="S964" s="384"/>
      <c r="T964" s="384"/>
      <c r="U964" s="384"/>
      <c r="V964" s="384"/>
      <c r="W964" s="384"/>
      <c r="X964" s="384"/>
      <c r="Y964" s="384"/>
      <c r="Z964" s="384"/>
      <c r="AA964" s="384"/>
      <c r="AB964" s="384"/>
      <c r="AC964" s="384"/>
      <c r="AD964" s="384"/>
      <c r="AE964" s="384"/>
      <c r="AF964" s="384"/>
      <c r="AG964" s="384"/>
      <c r="AH964" s="384"/>
      <c r="AI964" s="384"/>
      <c r="AJ964" s="384"/>
      <c r="AK964" s="384"/>
      <c r="AL964" s="384"/>
      <c r="AM964" s="384"/>
      <c r="AN964" s="384"/>
      <c r="AO964" s="384"/>
      <c r="AP964" s="384"/>
      <c r="AQ964" s="384"/>
      <c r="AR964" s="384"/>
      <c r="AS964" s="384"/>
      <c r="AT964" s="384"/>
      <c r="AU964" s="384"/>
      <c r="AV964" s="384"/>
      <c r="AW964" s="384"/>
      <c r="AX964" s="384"/>
      <c r="AY964" s="384"/>
      <c r="AZ964" s="384"/>
      <c r="BA964" s="384"/>
      <c r="BB964" s="384"/>
      <c r="BC964" s="384"/>
      <c r="BD964" s="384"/>
      <c r="BE964" s="384"/>
      <c r="BF964" s="384"/>
      <c r="BG964" s="384"/>
      <c r="BH964" s="384"/>
      <c r="BI964" s="384"/>
      <c r="BJ964" s="384"/>
      <c r="BK964" s="384"/>
      <c r="BL964" s="384"/>
      <c r="BM964" s="384"/>
      <c r="BN964" s="384"/>
      <c r="BO964" s="384"/>
      <c r="BP964" s="384"/>
      <c r="BQ964" s="384"/>
      <c r="BR964" s="384"/>
      <c r="BS964" s="384"/>
      <c r="BT964" s="384"/>
      <c r="BU964" s="384"/>
      <c r="BV964" s="384"/>
      <c r="BW964" s="384"/>
      <c r="BX964" s="384"/>
      <c r="BY964" s="384"/>
      <c r="BZ964" s="384"/>
      <c r="CA964" s="384"/>
      <c r="CB964" s="384"/>
      <c r="CC964" s="384"/>
      <c r="CD964" s="384"/>
      <c r="CE964" s="384"/>
      <c r="CF964" s="384"/>
      <c r="CG964" s="384"/>
      <c r="CH964" s="384"/>
      <c r="CI964" s="384"/>
      <c r="CJ964" s="384"/>
      <c r="CK964" s="384"/>
      <c r="CL964" s="384"/>
      <c r="CM964" s="384"/>
      <c r="CN964" s="384"/>
      <c r="CO964" s="384"/>
      <c r="CP964" s="384"/>
      <c r="CQ964" s="384"/>
      <c r="CR964" s="384"/>
      <c r="CS964" s="384"/>
      <c r="CT964" s="384"/>
      <c r="CU964" s="384"/>
      <c r="CV964" s="384"/>
      <c r="CW964" s="384"/>
      <c r="CX964" s="384"/>
      <c r="CY964" s="384"/>
      <c r="CZ964" s="384"/>
      <c r="DA964" s="384"/>
      <c r="DB964" s="384"/>
      <c r="DC964" s="384"/>
      <c r="DD964" s="384"/>
      <c r="DE964" s="384"/>
      <c r="DF964" s="384"/>
      <c r="DG964" s="384"/>
      <c r="DH964" s="384"/>
      <c r="DI964" s="384"/>
      <c r="DJ964" s="384"/>
      <c r="DK964" s="384"/>
      <c r="DL964" s="384"/>
      <c r="DM964" s="384"/>
      <c r="DN964" s="384"/>
      <c r="DO964" s="384"/>
      <c r="DP964" s="384"/>
      <c r="DQ964" s="384"/>
      <c r="DR964" s="384"/>
      <c r="DS964" s="384"/>
      <c r="DT964" s="384"/>
      <c r="DU964" s="384"/>
      <c r="DV964" s="384"/>
      <c r="DW964" s="384"/>
      <c r="DX964" s="384"/>
      <c r="DY964" s="384"/>
      <c r="DZ964" s="384"/>
    </row>
    <row r="965" spans="1:130" hidden="1" outlineLevel="3">
      <c r="A965" s="438"/>
      <c r="B965" s="490"/>
      <c r="C965" s="398"/>
      <c r="D965" s="399"/>
      <c r="E965" s="385"/>
      <c r="F965" s="385"/>
      <c r="G965" s="385"/>
      <c r="H965" s="401"/>
      <c r="I965" s="385" t="s">
        <v>1622</v>
      </c>
      <c r="J965" s="489" t="s">
        <v>365</v>
      </c>
      <c r="K965" s="412"/>
      <c r="L965" s="412"/>
      <c r="M965" s="490" t="s">
        <v>37</v>
      </c>
      <c r="N965" s="490">
        <v>1</v>
      </c>
    </row>
    <row r="966" spans="1:130" s="411" customFormat="1" ht="81" hidden="1" outlineLevel="2" collapsed="1">
      <c r="A966" s="489" t="s">
        <v>1430</v>
      </c>
      <c r="B966" s="490"/>
      <c r="C966" s="398" t="s">
        <v>392</v>
      </c>
      <c r="D966" s="399" t="s">
        <v>391</v>
      </c>
      <c r="E966" s="490" t="s">
        <v>3392</v>
      </c>
      <c r="F966" s="385" t="s">
        <v>303</v>
      </c>
      <c r="G966" s="385"/>
      <c r="H966" s="401" t="s">
        <v>3293</v>
      </c>
      <c r="I966" s="385" t="str">
        <f>CONCATENATE(I967," ",N967,M967," ",I968," ",N968,M968," ",I969," ",N969,M969," ",I970,N970," ",M970," ",I971," ",N971,M971," ",I972," ",N972,M972)</f>
        <v>Замена рессоры 2шт. Замена топливного насоса 1шт. Замена стартера 1шт. Замена карданного вала2 шт. Замена радиатора системы охлаждения 1шт. Ремонт газораспределительного механизма 1шт.</v>
      </c>
      <c r="J966" s="489" t="s">
        <v>365</v>
      </c>
      <c r="K966" s="450">
        <v>44348</v>
      </c>
      <c r="L966" s="450">
        <v>44500</v>
      </c>
      <c r="M966" s="490"/>
      <c r="N966" s="490"/>
      <c r="O966" s="384"/>
      <c r="P966" s="384"/>
      <c r="Q966" s="384"/>
      <c r="R966" s="384"/>
      <c r="S966" s="384"/>
      <c r="T966" s="384"/>
      <c r="U966" s="384"/>
      <c r="V966" s="384"/>
      <c r="W966" s="384"/>
      <c r="X966" s="384"/>
      <c r="Y966" s="384"/>
      <c r="Z966" s="384"/>
      <c r="AA966" s="384"/>
      <c r="AB966" s="384"/>
      <c r="AC966" s="384"/>
      <c r="AD966" s="384"/>
      <c r="AE966" s="384"/>
      <c r="AF966" s="384"/>
      <c r="AG966" s="384"/>
      <c r="AH966" s="384"/>
      <c r="AI966" s="384"/>
      <c r="AJ966" s="384"/>
      <c r="AK966" s="384"/>
      <c r="AL966" s="384"/>
      <c r="AM966" s="384"/>
      <c r="AN966" s="384"/>
      <c r="AO966" s="384"/>
      <c r="AP966" s="384"/>
      <c r="AQ966" s="384"/>
      <c r="AR966" s="384"/>
      <c r="AS966" s="384"/>
      <c r="AT966" s="384"/>
      <c r="AU966" s="384"/>
      <c r="AV966" s="384"/>
      <c r="AW966" s="384"/>
      <c r="AX966" s="384"/>
      <c r="AY966" s="384"/>
      <c r="AZ966" s="384"/>
      <c r="BA966" s="384"/>
      <c r="BB966" s="384"/>
      <c r="BC966" s="384"/>
      <c r="BD966" s="384"/>
      <c r="BE966" s="384"/>
      <c r="BF966" s="384"/>
      <c r="BG966" s="384"/>
      <c r="BH966" s="384"/>
      <c r="BI966" s="384"/>
      <c r="BJ966" s="384"/>
      <c r="BK966" s="384"/>
      <c r="BL966" s="384"/>
      <c r="BM966" s="384"/>
      <c r="BN966" s="384"/>
      <c r="BO966" s="384"/>
      <c r="BP966" s="384"/>
      <c r="BQ966" s="384"/>
      <c r="BR966" s="384"/>
      <c r="BS966" s="384"/>
      <c r="BT966" s="384"/>
      <c r="BU966" s="384"/>
      <c r="BV966" s="384"/>
      <c r="BW966" s="384"/>
      <c r="BX966" s="384"/>
      <c r="BY966" s="384"/>
      <c r="BZ966" s="384"/>
      <c r="CA966" s="384"/>
      <c r="CB966" s="384"/>
      <c r="CC966" s="384"/>
      <c r="CD966" s="384"/>
      <c r="CE966" s="384"/>
      <c r="CF966" s="384"/>
      <c r="CG966" s="384"/>
      <c r="CH966" s="384"/>
      <c r="CI966" s="384"/>
      <c r="CJ966" s="384"/>
      <c r="CK966" s="384"/>
      <c r="CL966" s="384"/>
      <c r="CM966" s="384"/>
      <c r="CN966" s="384"/>
      <c r="CO966" s="384"/>
      <c r="CP966" s="384"/>
      <c r="CQ966" s="384"/>
      <c r="CR966" s="384"/>
      <c r="CS966" s="384"/>
      <c r="CT966" s="384"/>
      <c r="CU966" s="384"/>
      <c r="CV966" s="384"/>
      <c r="CW966" s="384"/>
      <c r="CX966" s="384"/>
      <c r="CY966" s="384"/>
      <c r="CZ966" s="384"/>
      <c r="DA966" s="384"/>
      <c r="DB966" s="384"/>
      <c r="DC966" s="384"/>
      <c r="DD966" s="384"/>
      <c r="DE966" s="384"/>
      <c r="DF966" s="384"/>
      <c r="DG966" s="384"/>
      <c r="DH966" s="384"/>
      <c r="DI966" s="384"/>
      <c r="DJ966" s="384"/>
      <c r="DK966" s="384"/>
      <c r="DL966" s="384"/>
      <c r="DM966" s="384"/>
      <c r="DN966" s="384"/>
      <c r="DO966" s="384"/>
      <c r="DP966" s="384"/>
      <c r="DQ966" s="384"/>
      <c r="DR966" s="384"/>
      <c r="DS966" s="384"/>
      <c r="DT966" s="384"/>
      <c r="DU966" s="384"/>
      <c r="DV966" s="384"/>
      <c r="DW966" s="384"/>
      <c r="DX966" s="384"/>
      <c r="DY966" s="384"/>
      <c r="DZ966" s="384"/>
    </row>
    <row r="967" spans="1:130" hidden="1" outlineLevel="3">
      <c r="A967" s="438"/>
      <c r="B967" s="490"/>
      <c r="C967" s="398"/>
      <c r="D967" s="399"/>
      <c r="E967" s="385"/>
      <c r="F967" s="385"/>
      <c r="G967" s="385"/>
      <c r="H967" s="401"/>
      <c r="I967" s="385" t="s">
        <v>1644</v>
      </c>
      <c r="J967" s="489" t="s">
        <v>365</v>
      </c>
      <c r="K967" s="412"/>
      <c r="L967" s="412"/>
      <c r="M967" s="490" t="s">
        <v>37</v>
      </c>
      <c r="N967" s="490">
        <v>2</v>
      </c>
    </row>
    <row r="968" spans="1:130" hidden="1" outlineLevel="3">
      <c r="A968" s="438"/>
      <c r="B968" s="490"/>
      <c r="C968" s="398"/>
      <c r="D968" s="399"/>
      <c r="E968" s="385"/>
      <c r="F968" s="385"/>
      <c r="G968" s="385"/>
      <c r="H968" s="401"/>
      <c r="I968" s="385" t="s">
        <v>3294</v>
      </c>
      <c r="J968" s="489" t="s">
        <v>365</v>
      </c>
      <c r="K968" s="412"/>
      <c r="L968" s="412"/>
      <c r="M968" s="490" t="s">
        <v>37</v>
      </c>
      <c r="N968" s="490">
        <v>1</v>
      </c>
    </row>
    <row r="969" spans="1:130" hidden="1" outlineLevel="3">
      <c r="A969" s="438"/>
      <c r="B969" s="490"/>
      <c r="C969" s="398"/>
      <c r="D969" s="399"/>
      <c r="E969" s="385"/>
      <c r="F969" s="385"/>
      <c r="G969" s="385"/>
      <c r="H969" s="401"/>
      <c r="I969" s="385" t="s">
        <v>3295</v>
      </c>
      <c r="J969" s="489" t="s">
        <v>365</v>
      </c>
      <c r="K969" s="412"/>
      <c r="L969" s="412"/>
      <c r="M969" s="490" t="s">
        <v>37</v>
      </c>
      <c r="N969" s="490">
        <v>1</v>
      </c>
    </row>
    <row r="970" spans="1:130" hidden="1" outlineLevel="3">
      <c r="A970" s="438"/>
      <c r="B970" s="490"/>
      <c r="C970" s="398"/>
      <c r="D970" s="399"/>
      <c r="E970" s="385"/>
      <c r="F970" s="385"/>
      <c r="G970" s="385"/>
      <c r="H970" s="401"/>
      <c r="I970" s="385" t="s">
        <v>1626</v>
      </c>
      <c r="J970" s="489" t="s">
        <v>365</v>
      </c>
      <c r="K970" s="412"/>
      <c r="L970" s="412"/>
      <c r="M970" s="490" t="s">
        <v>37</v>
      </c>
      <c r="N970" s="490">
        <v>2</v>
      </c>
    </row>
    <row r="971" spans="1:130" hidden="1" outlineLevel="3">
      <c r="A971" s="438"/>
      <c r="B971" s="490"/>
      <c r="C971" s="398"/>
      <c r="D971" s="399"/>
      <c r="E971" s="385"/>
      <c r="F971" s="385"/>
      <c r="G971" s="385"/>
      <c r="H971" s="401"/>
      <c r="I971" s="385" t="s">
        <v>1645</v>
      </c>
      <c r="J971" s="489" t="s">
        <v>365</v>
      </c>
      <c r="K971" s="412"/>
      <c r="L971" s="412"/>
      <c r="M971" s="490" t="s">
        <v>37</v>
      </c>
      <c r="N971" s="490">
        <v>1</v>
      </c>
    </row>
    <row r="972" spans="1:130" hidden="1" outlineLevel="3">
      <c r="A972" s="438"/>
      <c r="B972" s="490"/>
      <c r="C972" s="398"/>
      <c r="D972" s="399"/>
      <c r="E972" s="385"/>
      <c r="F972" s="385"/>
      <c r="G972" s="385"/>
      <c r="H972" s="401"/>
      <c r="I972" s="385" t="s">
        <v>3296</v>
      </c>
      <c r="J972" s="489" t="s">
        <v>365</v>
      </c>
      <c r="K972" s="412"/>
      <c r="L972" s="412"/>
      <c r="M972" s="490" t="s">
        <v>37</v>
      </c>
      <c r="N972" s="490">
        <v>1</v>
      </c>
    </row>
    <row r="973" spans="1:130" s="411" customFormat="1" ht="40.5" hidden="1" outlineLevel="2" collapsed="1">
      <c r="A973" s="489" t="s">
        <v>1431</v>
      </c>
      <c r="B973" s="490"/>
      <c r="C973" s="398" t="s">
        <v>408</v>
      </c>
      <c r="D973" s="399" t="s">
        <v>391</v>
      </c>
      <c r="E973" s="490" t="s">
        <v>1545</v>
      </c>
      <c r="F973" s="385" t="s">
        <v>303</v>
      </c>
      <c r="G973" s="385"/>
      <c r="H973" s="401" t="s">
        <v>1181</v>
      </c>
      <c r="I973" s="385" t="str">
        <f>CONCATENATE(I974," ",N974,M974,," ",I975," ",N975,M975)</f>
        <v>Замена крыла 2шт. Замена капота 1шт.</v>
      </c>
      <c r="J973" s="489" t="s">
        <v>365</v>
      </c>
      <c r="K973" s="450">
        <v>44348</v>
      </c>
      <c r="L973" s="450">
        <v>44500</v>
      </c>
      <c r="M973" s="490"/>
      <c r="N973" s="490"/>
      <c r="O973" s="384"/>
      <c r="P973" s="384"/>
      <c r="Q973" s="384"/>
      <c r="R973" s="384"/>
      <c r="S973" s="384"/>
      <c r="T973" s="384"/>
      <c r="U973" s="384"/>
      <c r="V973" s="384"/>
      <c r="W973" s="384"/>
      <c r="X973" s="384"/>
      <c r="Y973" s="384"/>
      <c r="Z973" s="384"/>
      <c r="AA973" s="384"/>
      <c r="AB973" s="384"/>
      <c r="AC973" s="384"/>
      <c r="AD973" s="384"/>
      <c r="AE973" s="384"/>
      <c r="AF973" s="384"/>
      <c r="AG973" s="384"/>
      <c r="AH973" s="384"/>
      <c r="AI973" s="384"/>
      <c r="AJ973" s="384"/>
      <c r="AK973" s="384"/>
      <c r="AL973" s="384"/>
      <c r="AM973" s="384"/>
      <c r="AN973" s="384"/>
      <c r="AO973" s="384"/>
      <c r="AP973" s="384"/>
      <c r="AQ973" s="384"/>
      <c r="AR973" s="384"/>
      <c r="AS973" s="384"/>
      <c r="AT973" s="384"/>
      <c r="AU973" s="384"/>
      <c r="AV973" s="384"/>
      <c r="AW973" s="384"/>
      <c r="AX973" s="384"/>
      <c r="AY973" s="384"/>
      <c r="AZ973" s="384"/>
      <c r="BA973" s="384"/>
      <c r="BB973" s="384"/>
      <c r="BC973" s="384"/>
      <c r="BD973" s="384"/>
      <c r="BE973" s="384"/>
      <c r="BF973" s="384"/>
      <c r="BG973" s="384"/>
      <c r="BH973" s="384"/>
      <c r="BI973" s="384"/>
      <c r="BJ973" s="384"/>
      <c r="BK973" s="384"/>
      <c r="BL973" s="384"/>
      <c r="BM973" s="384"/>
      <c r="BN973" s="384"/>
      <c r="BO973" s="384"/>
      <c r="BP973" s="384"/>
      <c r="BQ973" s="384"/>
      <c r="BR973" s="384"/>
      <c r="BS973" s="384"/>
      <c r="BT973" s="384"/>
      <c r="BU973" s="384"/>
      <c r="BV973" s="384"/>
      <c r="BW973" s="384"/>
      <c r="BX973" s="384"/>
      <c r="BY973" s="384"/>
      <c r="BZ973" s="384"/>
      <c r="CA973" s="384"/>
      <c r="CB973" s="384"/>
      <c r="CC973" s="384"/>
      <c r="CD973" s="384"/>
      <c r="CE973" s="384"/>
      <c r="CF973" s="384"/>
      <c r="CG973" s="384"/>
      <c r="CH973" s="384"/>
      <c r="CI973" s="384"/>
      <c r="CJ973" s="384"/>
      <c r="CK973" s="384"/>
      <c r="CL973" s="384"/>
      <c r="CM973" s="384"/>
      <c r="CN973" s="384"/>
      <c r="CO973" s="384"/>
      <c r="CP973" s="384"/>
      <c r="CQ973" s="384"/>
      <c r="CR973" s="384"/>
      <c r="CS973" s="384"/>
      <c r="CT973" s="384"/>
      <c r="CU973" s="384"/>
      <c r="CV973" s="384"/>
      <c r="CW973" s="384"/>
      <c r="CX973" s="384"/>
      <c r="CY973" s="384"/>
      <c r="CZ973" s="384"/>
      <c r="DA973" s="384"/>
      <c r="DB973" s="384"/>
      <c r="DC973" s="384"/>
      <c r="DD973" s="384"/>
      <c r="DE973" s="384"/>
      <c r="DF973" s="384"/>
      <c r="DG973" s="384"/>
      <c r="DH973" s="384"/>
      <c r="DI973" s="384"/>
      <c r="DJ973" s="384"/>
      <c r="DK973" s="384"/>
      <c r="DL973" s="384"/>
      <c r="DM973" s="384"/>
      <c r="DN973" s="384"/>
      <c r="DO973" s="384"/>
      <c r="DP973" s="384"/>
      <c r="DQ973" s="384"/>
      <c r="DR973" s="384"/>
      <c r="DS973" s="384"/>
      <c r="DT973" s="384"/>
      <c r="DU973" s="384"/>
      <c r="DV973" s="384"/>
      <c r="DW973" s="384"/>
      <c r="DX973" s="384"/>
      <c r="DY973" s="384"/>
      <c r="DZ973" s="384"/>
    </row>
    <row r="974" spans="1:130" hidden="1" outlineLevel="3">
      <c r="A974" s="438"/>
      <c r="B974" s="490"/>
      <c r="C974" s="398"/>
      <c r="D974" s="399"/>
      <c r="E974" s="385"/>
      <c r="F974" s="385"/>
      <c r="G974" s="385"/>
      <c r="H974" s="401"/>
      <c r="I974" s="385" t="s">
        <v>1623</v>
      </c>
      <c r="J974" s="489" t="s">
        <v>365</v>
      </c>
      <c r="K974" s="412"/>
      <c r="L974" s="412"/>
      <c r="M974" s="490" t="s">
        <v>37</v>
      </c>
      <c r="N974" s="490">
        <v>2</v>
      </c>
    </row>
    <row r="975" spans="1:130" hidden="1" outlineLevel="3">
      <c r="A975" s="438"/>
      <c r="B975" s="490"/>
      <c r="C975" s="398"/>
      <c r="D975" s="399"/>
      <c r="E975" s="385"/>
      <c r="F975" s="385"/>
      <c r="G975" s="385"/>
      <c r="H975" s="401"/>
      <c r="I975" s="385" t="s">
        <v>1624</v>
      </c>
      <c r="J975" s="489" t="s">
        <v>365</v>
      </c>
      <c r="K975" s="412"/>
      <c r="L975" s="412"/>
      <c r="M975" s="490" t="s">
        <v>37</v>
      </c>
      <c r="N975" s="490">
        <v>1</v>
      </c>
    </row>
    <row r="976" spans="1:130" s="411" customFormat="1" ht="60.75" hidden="1" outlineLevel="2" collapsed="1">
      <c r="A976" s="489" t="s">
        <v>1432</v>
      </c>
      <c r="B976" s="490"/>
      <c r="C976" s="398" t="s">
        <v>392</v>
      </c>
      <c r="D976" s="399" t="s">
        <v>391</v>
      </c>
      <c r="E976" s="490" t="s">
        <v>3393</v>
      </c>
      <c r="F976" s="385" t="s">
        <v>303</v>
      </c>
      <c r="G976" s="385"/>
      <c r="H976" s="401" t="s">
        <v>3297</v>
      </c>
      <c r="I976" s="385" t="str">
        <f>CONCATENATE(I977," ",N977,M977," ",I978," ",N978,M978," ",I979," ",N979,M979," ",I980,N980," ",M980," ",I981," ",N981,M981)</f>
        <v>Ремонт бура 1шт. Замена насоса 1шт. Замена диска сцепления 2шт. Замена турбокомпрессора1 шт. Замена карданного вала 1шт.</v>
      </c>
      <c r="J976" s="489" t="s">
        <v>365</v>
      </c>
      <c r="K976" s="450">
        <v>44348</v>
      </c>
      <c r="L976" s="450">
        <v>44500</v>
      </c>
      <c r="M976" s="490"/>
      <c r="N976" s="490"/>
      <c r="O976" s="384"/>
      <c r="P976" s="384"/>
      <c r="Q976" s="384"/>
      <c r="R976" s="384"/>
      <c r="S976" s="384"/>
      <c r="T976" s="384"/>
      <c r="U976" s="384"/>
      <c r="V976" s="384"/>
      <c r="W976" s="384"/>
      <c r="X976" s="384"/>
      <c r="Y976" s="384"/>
      <c r="Z976" s="384"/>
      <c r="AA976" s="384"/>
      <c r="AB976" s="384"/>
      <c r="AC976" s="384"/>
      <c r="AD976" s="384"/>
      <c r="AE976" s="384"/>
      <c r="AF976" s="384"/>
      <c r="AG976" s="384"/>
      <c r="AH976" s="384"/>
      <c r="AI976" s="384"/>
      <c r="AJ976" s="384"/>
      <c r="AK976" s="384"/>
      <c r="AL976" s="384"/>
      <c r="AM976" s="384"/>
      <c r="AN976" s="384"/>
      <c r="AO976" s="384"/>
      <c r="AP976" s="384"/>
      <c r="AQ976" s="384"/>
      <c r="AR976" s="384"/>
      <c r="AS976" s="384"/>
      <c r="AT976" s="384"/>
      <c r="AU976" s="384"/>
      <c r="AV976" s="384"/>
      <c r="AW976" s="384"/>
      <c r="AX976" s="384"/>
      <c r="AY976" s="384"/>
      <c r="AZ976" s="384"/>
      <c r="BA976" s="384"/>
      <c r="BB976" s="384"/>
      <c r="BC976" s="384"/>
      <c r="BD976" s="384"/>
      <c r="BE976" s="384"/>
      <c r="BF976" s="384"/>
      <c r="BG976" s="384"/>
      <c r="BH976" s="384"/>
      <c r="BI976" s="384"/>
      <c r="BJ976" s="384"/>
      <c r="BK976" s="384"/>
      <c r="BL976" s="384"/>
      <c r="BM976" s="384"/>
      <c r="BN976" s="384"/>
      <c r="BO976" s="384"/>
      <c r="BP976" s="384"/>
      <c r="BQ976" s="384"/>
      <c r="BR976" s="384"/>
      <c r="BS976" s="384"/>
      <c r="BT976" s="384"/>
      <c r="BU976" s="384"/>
      <c r="BV976" s="384"/>
      <c r="BW976" s="384"/>
      <c r="BX976" s="384"/>
      <c r="BY976" s="384"/>
      <c r="BZ976" s="384"/>
      <c r="CA976" s="384"/>
      <c r="CB976" s="384"/>
      <c r="CC976" s="384"/>
      <c r="CD976" s="384"/>
      <c r="CE976" s="384"/>
      <c r="CF976" s="384"/>
      <c r="CG976" s="384"/>
      <c r="CH976" s="384"/>
      <c r="CI976" s="384"/>
      <c r="CJ976" s="384"/>
      <c r="CK976" s="384"/>
      <c r="CL976" s="384"/>
      <c r="CM976" s="384"/>
      <c r="CN976" s="384"/>
      <c r="CO976" s="384"/>
      <c r="CP976" s="384"/>
      <c r="CQ976" s="384"/>
      <c r="CR976" s="384"/>
      <c r="CS976" s="384"/>
      <c r="CT976" s="384"/>
      <c r="CU976" s="384"/>
      <c r="CV976" s="384"/>
      <c r="CW976" s="384"/>
      <c r="CX976" s="384"/>
      <c r="CY976" s="384"/>
      <c r="CZ976" s="384"/>
      <c r="DA976" s="384"/>
      <c r="DB976" s="384"/>
      <c r="DC976" s="384"/>
      <c r="DD976" s="384"/>
      <c r="DE976" s="384"/>
      <c r="DF976" s="384"/>
      <c r="DG976" s="384"/>
      <c r="DH976" s="384"/>
      <c r="DI976" s="384"/>
      <c r="DJ976" s="384"/>
      <c r="DK976" s="384"/>
      <c r="DL976" s="384"/>
      <c r="DM976" s="384"/>
      <c r="DN976" s="384"/>
      <c r="DO976" s="384"/>
      <c r="DP976" s="384"/>
      <c r="DQ976" s="384"/>
      <c r="DR976" s="384"/>
      <c r="DS976" s="384"/>
      <c r="DT976" s="384"/>
      <c r="DU976" s="384"/>
      <c r="DV976" s="384"/>
      <c r="DW976" s="384"/>
      <c r="DX976" s="384"/>
      <c r="DY976" s="384"/>
      <c r="DZ976" s="384"/>
    </row>
    <row r="977" spans="1:130" hidden="1" outlineLevel="3">
      <c r="A977" s="438"/>
      <c r="B977" s="490"/>
      <c r="C977" s="398"/>
      <c r="D977" s="399"/>
      <c r="E977" s="385"/>
      <c r="F977" s="385"/>
      <c r="G977" s="385"/>
      <c r="H977" s="401"/>
      <c r="I977" s="385" t="s">
        <v>3298</v>
      </c>
      <c r="J977" s="489" t="s">
        <v>365</v>
      </c>
      <c r="K977" s="412"/>
      <c r="L977" s="412"/>
      <c r="M977" s="490" t="s">
        <v>37</v>
      </c>
      <c r="N977" s="490">
        <v>1</v>
      </c>
    </row>
    <row r="978" spans="1:130" hidden="1" outlineLevel="3">
      <c r="A978" s="438"/>
      <c r="B978" s="490"/>
      <c r="C978" s="398"/>
      <c r="D978" s="399"/>
      <c r="E978" s="385"/>
      <c r="F978" s="385"/>
      <c r="G978" s="385"/>
      <c r="H978" s="401"/>
      <c r="I978" s="385" t="s">
        <v>3299</v>
      </c>
      <c r="J978" s="489" t="s">
        <v>365</v>
      </c>
      <c r="K978" s="412"/>
      <c r="L978" s="412"/>
      <c r="M978" s="490" t="s">
        <v>37</v>
      </c>
      <c r="N978" s="490">
        <v>1</v>
      </c>
    </row>
    <row r="979" spans="1:130" hidden="1" outlineLevel="3">
      <c r="A979" s="438"/>
      <c r="B979" s="490"/>
      <c r="C979" s="398"/>
      <c r="D979" s="399"/>
      <c r="E979" s="385"/>
      <c r="F979" s="385"/>
      <c r="G979" s="385"/>
      <c r="H979" s="401"/>
      <c r="I979" s="385" t="s">
        <v>3300</v>
      </c>
      <c r="J979" s="489" t="s">
        <v>365</v>
      </c>
      <c r="K979" s="412"/>
      <c r="L979" s="412"/>
      <c r="M979" s="490" t="s">
        <v>37</v>
      </c>
      <c r="N979" s="490">
        <v>2</v>
      </c>
    </row>
    <row r="980" spans="1:130" hidden="1" outlineLevel="3">
      <c r="A980" s="438"/>
      <c r="B980" s="490"/>
      <c r="C980" s="398"/>
      <c r="D980" s="399"/>
      <c r="E980" s="385"/>
      <c r="F980" s="385"/>
      <c r="G980" s="385"/>
      <c r="H980" s="401"/>
      <c r="I980" s="385" t="s">
        <v>3301</v>
      </c>
      <c r="J980" s="489" t="s">
        <v>365</v>
      </c>
      <c r="K980" s="412"/>
      <c r="L980" s="412"/>
      <c r="M980" s="490" t="s">
        <v>37</v>
      </c>
      <c r="N980" s="490">
        <v>1</v>
      </c>
    </row>
    <row r="981" spans="1:130" hidden="1" outlineLevel="3">
      <c r="A981" s="438"/>
      <c r="B981" s="490"/>
      <c r="C981" s="398"/>
      <c r="D981" s="399"/>
      <c r="E981" s="385"/>
      <c r="F981" s="385"/>
      <c r="G981" s="385"/>
      <c r="H981" s="401"/>
      <c r="I981" s="385" t="s">
        <v>1626</v>
      </c>
      <c r="J981" s="489" t="s">
        <v>365</v>
      </c>
      <c r="K981" s="412"/>
      <c r="L981" s="412"/>
      <c r="M981" s="490" t="s">
        <v>37</v>
      </c>
      <c r="N981" s="490">
        <v>1</v>
      </c>
    </row>
    <row r="982" spans="1:130" s="411" customFormat="1" ht="40.5" hidden="1" outlineLevel="2" collapsed="1">
      <c r="A982" s="489" t="s">
        <v>1433</v>
      </c>
      <c r="B982" s="490"/>
      <c r="C982" s="398" t="s">
        <v>607</v>
      </c>
      <c r="D982" s="399" t="s">
        <v>391</v>
      </c>
      <c r="E982" s="490" t="s">
        <v>1546</v>
      </c>
      <c r="F982" s="385" t="s">
        <v>303</v>
      </c>
      <c r="G982" s="385"/>
      <c r="H982" s="401" t="s">
        <v>1665</v>
      </c>
      <c r="I982" s="385" t="str">
        <f>CONCATENATE(I983," ",N983,M983," ",I984," ",N984,M984)</f>
        <v>Замена коленчатого вала 1шт. Замена карданного вала 1шт.</v>
      </c>
      <c r="J982" s="489" t="s">
        <v>365</v>
      </c>
      <c r="K982" s="450">
        <v>44348</v>
      </c>
      <c r="L982" s="450">
        <v>44500</v>
      </c>
      <c r="M982" s="490"/>
      <c r="N982" s="490"/>
      <c r="O982" s="384"/>
      <c r="P982" s="384"/>
      <c r="Q982" s="384"/>
      <c r="R982" s="384"/>
      <c r="S982" s="384"/>
      <c r="T982" s="384"/>
      <c r="U982" s="384"/>
      <c r="V982" s="384"/>
      <c r="W982" s="384"/>
      <c r="X982" s="384"/>
      <c r="Y982" s="384"/>
      <c r="Z982" s="384"/>
      <c r="AA982" s="384"/>
      <c r="AB982" s="384"/>
      <c r="AC982" s="384"/>
      <c r="AD982" s="384"/>
      <c r="AE982" s="384"/>
      <c r="AF982" s="384"/>
      <c r="AG982" s="384"/>
      <c r="AH982" s="384"/>
      <c r="AI982" s="384"/>
      <c r="AJ982" s="384"/>
      <c r="AK982" s="384"/>
      <c r="AL982" s="384"/>
      <c r="AM982" s="384"/>
      <c r="AN982" s="384"/>
      <c r="AO982" s="384"/>
      <c r="AP982" s="384"/>
      <c r="AQ982" s="384"/>
      <c r="AR982" s="384"/>
      <c r="AS982" s="384"/>
      <c r="AT982" s="384"/>
      <c r="AU982" s="384"/>
      <c r="AV982" s="384"/>
      <c r="AW982" s="384"/>
      <c r="AX982" s="384"/>
      <c r="AY982" s="384"/>
      <c r="AZ982" s="384"/>
      <c r="BA982" s="384"/>
      <c r="BB982" s="384"/>
      <c r="BC982" s="384"/>
      <c r="BD982" s="384"/>
      <c r="BE982" s="384"/>
      <c r="BF982" s="384"/>
      <c r="BG982" s="384"/>
      <c r="BH982" s="384"/>
      <c r="BI982" s="384"/>
      <c r="BJ982" s="384"/>
      <c r="BK982" s="384"/>
      <c r="BL982" s="384"/>
      <c r="BM982" s="384"/>
      <c r="BN982" s="384"/>
      <c r="BO982" s="384"/>
      <c r="BP982" s="384"/>
      <c r="BQ982" s="384"/>
      <c r="BR982" s="384"/>
      <c r="BS982" s="384"/>
      <c r="BT982" s="384"/>
      <c r="BU982" s="384"/>
      <c r="BV982" s="384"/>
      <c r="BW982" s="384"/>
      <c r="BX982" s="384"/>
      <c r="BY982" s="384"/>
      <c r="BZ982" s="384"/>
      <c r="CA982" s="384"/>
      <c r="CB982" s="384"/>
      <c r="CC982" s="384"/>
      <c r="CD982" s="384"/>
      <c r="CE982" s="384"/>
      <c r="CF982" s="384"/>
      <c r="CG982" s="384"/>
      <c r="CH982" s="384"/>
      <c r="CI982" s="384"/>
      <c r="CJ982" s="384"/>
      <c r="CK982" s="384"/>
      <c r="CL982" s="384"/>
      <c r="CM982" s="384"/>
      <c r="CN982" s="384"/>
      <c r="CO982" s="384"/>
      <c r="CP982" s="384"/>
      <c r="CQ982" s="384"/>
      <c r="CR982" s="384"/>
      <c r="CS982" s="384"/>
      <c r="CT982" s="384"/>
      <c r="CU982" s="384"/>
      <c r="CV982" s="384"/>
      <c r="CW982" s="384"/>
      <c r="CX982" s="384"/>
      <c r="CY982" s="384"/>
      <c r="CZ982" s="384"/>
      <c r="DA982" s="384"/>
      <c r="DB982" s="384"/>
      <c r="DC982" s="384"/>
      <c r="DD982" s="384"/>
      <c r="DE982" s="384"/>
      <c r="DF982" s="384"/>
      <c r="DG982" s="384"/>
      <c r="DH982" s="384"/>
      <c r="DI982" s="384"/>
      <c r="DJ982" s="384"/>
      <c r="DK982" s="384"/>
      <c r="DL982" s="384"/>
      <c r="DM982" s="384"/>
      <c r="DN982" s="384"/>
      <c r="DO982" s="384"/>
      <c r="DP982" s="384"/>
      <c r="DQ982" s="384"/>
      <c r="DR982" s="384"/>
      <c r="DS982" s="384"/>
      <c r="DT982" s="384"/>
      <c r="DU982" s="384"/>
      <c r="DV982" s="384"/>
      <c r="DW982" s="384"/>
      <c r="DX982" s="384"/>
      <c r="DY982" s="384"/>
      <c r="DZ982" s="384"/>
    </row>
    <row r="983" spans="1:130" hidden="1" outlineLevel="3">
      <c r="A983" s="438"/>
      <c r="B983" s="490"/>
      <c r="C983" s="398"/>
      <c r="D983" s="399"/>
      <c r="E983" s="385"/>
      <c r="F983" s="385"/>
      <c r="G983" s="385"/>
      <c r="H983" s="401"/>
      <c r="I983" s="385" t="s">
        <v>3302</v>
      </c>
      <c r="J983" s="489" t="s">
        <v>365</v>
      </c>
      <c r="K983" s="412"/>
      <c r="L983" s="412"/>
      <c r="M983" s="490" t="s">
        <v>37</v>
      </c>
      <c r="N983" s="490">
        <v>1</v>
      </c>
    </row>
    <row r="984" spans="1:130" hidden="1" outlineLevel="3">
      <c r="A984" s="438"/>
      <c r="B984" s="490"/>
      <c r="C984" s="398"/>
      <c r="D984" s="399"/>
      <c r="E984" s="385"/>
      <c r="F984" s="385"/>
      <c r="G984" s="385"/>
      <c r="H984" s="401"/>
      <c r="I984" s="385" t="s">
        <v>1626</v>
      </c>
      <c r="J984" s="489" t="s">
        <v>365</v>
      </c>
      <c r="K984" s="412"/>
      <c r="L984" s="412"/>
      <c r="M984" s="490" t="s">
        <v>37</v>
      </c>
      <c r="N984" s="490">
        <v>1</v>
      </c>
    </row>
    <row r="985" spans="1:130" s="411" customFormat="1" ht="60.75" hidden="1" outlineLevel="2" collapsed="1">
      <c r="A985" s="489" t="s">
        <v>1434</v>
      </c>
      <c r="B985" s="490"/>
      <c r="C985" s="398" t="s">
        <v>607</v>
      </c>
      <c r="D985" s="399" t="s">
        <v>391</v>
      </c>
      <c r="E985" s="490" t="s">
        <v>950</v>
      </c>
      <c r="F985" s="385" t="s">
        <v>303</v>
      </c>
      <c r="G985" s="385"/>
      <c r="H985" s="401" t="s">
        <v>3303</v>
      </c>
      <c r="I985" s="385" t="str">
        <f>CONCATENATE(I986," ",N986,M986," ",I987," ",N987,M987," ",I988," ",N988,M988,)</f>
        <v>Замена карданного вала 1шт. Замена тяги рулевой продольной 1шт. Замена дифференциала заднего моста 1шт.</v>
      </c>
      <c r="J985" s="489" t="s">
        <v>365</v>
      </c>
      <c r="K985" s="450">
        <v>44348</v>
      </c>
      <c r="L985" s="450">
        <v>44500</v>
      </c>
      <c r="M985" s="490"/>
      <c r="N985" s="490"/>
      <c r="O985" s="384"/>
      <c r="P985" s="384"/>
      <c r="Q985" s="384"/>
      <c r="R985" s="384"/>
      <c r="S985" s="384"/>
      <c r="T985" s="384"/>
      <c r="U985" s="384"/>
      <c r="V985" s="384"/>
      <c r="W985" s="384"/>
      <c r="X985" s="384"/>
      <c r="Y985" s="384"/>
      <c r="Z985" s="384"/>
      <c r="AA985" s="384"/>
      <c r="AB985" s="384"/>
      <c r="AC985" s="384"/>
      <c r="AD985" s="384"/>
      <c r="AE985" s="384"/>
      <c r="AF985" s="384"/>
      <c r="AG985" s="384"/>
      <c r="AH985" s="384"/>
      <c r="AI985" s="384"/>
      <c r="AJ985" s="384"/>
      <c r="AK985" s="384"/>
      <c r="AL985" s="384"/>
      <c r="AM985" s="384"/>
      <c r="AN985" s="384"/>
      <c r="AO985" s="384"/>
      <c r="AP985" s="384"/>
      <c r="AQ985" s="384"/>
      <c r="AR985" s="384"/>
      <c r="AS985" s="384"/>
      <c r="AT985" s="384"/>
      <c r="AU985" s="384"/>
      <c r="AV985" s="384"/>
      <c r="AW985" s="384"/>
      <c r="AX985" s="384"/>
      <c r="AY985" s="384"/>
      <c r="AZ985" s="384"/>
      <c r="BA985" s="384"/>
      <c r="BB985" s="384"/>
      <c r="BC985" s="384"/>
      <c r="BD985" s="384"/>
      <c r="BE985" s="384"/>
      <c r="BF985" s="384"/>
      <c r="BG985" s="384"/>
      <c r="BH985" s="384"/>
      <c r="BI985" s="384"/>
      <c r="BJ985" s="384"/>
      <c r="BK985" s="384"/>
      <c r="BL985" s="384"/>
      <c r="BM985" s="384"/>
      <c r="BN985" s="384"/>
      <c r="BO985" s="384"/>
      <c r="BP985" s="384"/>
      <c r="BQ985" s="384"/>
      <c r="BR985" s="384"/>
      <c r="BS985" s="384"/>
      <c r="BT985" s="384"/>
      <c r="BU985" s="384"/>
      <c r="BV985" s="384"/>
      <c r="BW985" s="384"/>
      <c r="BX985" s="384"/>
      <c r="BY985" s="384"/>
      <c r="BZ985" s="384"/>
      <c r="CA985" s="384"/>
      <c r="CB985" s="384"/>
      <c r="CC985" s="384"/>
      <c r="CD985" s="384"/>
      <c r="CE985" s="384"/>
      <c r="CF985" s="384"/>
      <c r="CG985" s="384"/>
      <c r="CH985" s="384"/>
      <c r="CI985" s="384"/>
      <c r="CJ985" s="384"/>
      <c r="CK985" s="384"/>
      <c r="CL985" s="384"/>
      <c r="CM985" s="384"/>
      <c r="CN985" s="384"/>
      <c r="CO985" s="384"/>
      <c r="CP985" s="384"/>
      <c r="CQ985" s="384"/>
      <c r="CR985" s="384"/>
      <c r="CS985" s="384"/>
      <c r="CT985" s="384"/>
      <c r="CU985" s="384"/>
      <c r="CV985" s="384"/>
      <c r="CW985" s="384"/>
      <c r="CX985" s="384"/>
      <c r="CY985" s="384"/>
      <c r="CZ985" s="384"/>
      <c r="DA985" s="384"/>
      <c r="DB985" s="384"/>
      <c r="DC985" s="384"/>
      <c r="DD985" s="384"/>
      <c r="DE985" s="384"/>
      <c r="DF985" s="384"/>
      <c r="DG985" s="384"/>
      <c r="DH985" s="384"/>
      <c r="DI985" s="384"/>
      <c r="DJ985" s="384"/>
      <c r="DK985" s="384"/>
      <c r="DL985" s="384"/>
      <c r="DM985" s="384"/>
      <c r="DN985" s="384"/>
      <c r="DO985" s="384"/>
      <c r="DP985" s="384"/>
      <c r="DQ985" s="384"/>
      <c r="DR985" s="384"/>
      <c r="DS985" s="384"/>
      <c r="DT985" s="384"/>
      <c r="DU985" s="384"/>
      <c r="DV985" s="384"/>
      <c r="DW985" s="384"/>
      <c r="DX985" s="384"/>
      <c r="DY985" s="384"/>
      <c r="DZ985" s="384"/>
    </row>
    <row r="986" spans="1:130" hidden="1" outlineLevel="3">
      <c r="A986" s="438"/>
      <c r="B986" s="490"/>
      <c r="C986" s="398"/>
      <c r="D986" s="399"/>
      <c r="E986" s="385"/>
      <c r="F986" s="385"/>
      <c r="G986" s="385"/>
      <c r="H986" s="401"/>
      <c r="I986" s="385" t="s">
        <v>1626</v>
      </c>
      <c r="J986" s="489" t="s">
        <v>365</v>
      </c>
      <c r="K986" s="412"/>
      <c r="L986" s="412"/>
      <c r="M986" s="490" t="s">
        <v>37</v>
      </c>
      <c r="N986" s="490">
        <v>1</v>
      </c>
    </row>
    <row r="987" spans="1:130" hidden="1" outlineLevel="3">
      <c r="A987" s="438"/>
      <c r="B987" s="490"/>
      <c r="C987" s="398"/>
      <c r="D987" s="399"/>
      <c r="E987" s="385"/>
      <c r="F987" s="385"/>
      <c r="G987" s="385"/>
      <c r="H987" s="401"/>
      <c r="I987" s="385" t="s">
        <v>3304</v>
      </c>
      <c r="J987" s="489" t="s">
        <v>365</v>
      </c>
      <c r="K987" s="412"/>
      <c r="L987" s="412"/>
      <c r="M987" s="490" t="s">
        <v>37</v>
      </c>
      <c r="N987" s="490">
        <v>1</v>
      </c>
    </row>
    <row r="988" spans="1:130" hidden="1" outlineLevel="3">
      <c r="A988" s="438"/>
      <c r="B988" s="490"/>
      <c r="C988" s="398"/>
      <c r="D988" s="399"/>
      <c r="E988" s="385"/>
      <c r="F988" s="385"/>
      <c r="G988" s="385"/>
      <c r="H988" s="401"/>
      <c r="I988" s="385" t="s">
        <v>1628</v>
      </c>
      <c r="J988" s="489" t="s">
        <v>365</v>
      </c>
      <c r="K988" s="412"/>
      <c r="L988" s="412"/>
      <c r="M988" s="490" t="s">
        <v>37</v>
      </c>
      <c r="N988" s="490">
        <v>1</v>
      </c>
    </row>
    <row r="989" spans="1:130" s="411" customFormat="1" ht="40.5" hidden="1" outlineLevel="2" collapsed="1">
      <c r="A989" s="489" t="s">
        <v>1435</v>
      </c>
      <c r="B989" s="490"/>
      <c r="C989" s="398" t="s">
        <v>607</v>
      </c>
      <c r="D989" s="399" t="s">
        <v>391</v>
      </c>
      <c r="E989" s="490" t="s">
        <v>3308</v>
      </c>
      <c r="F989" s="385" t="s">
        <v>303</v>
      </c>
      <c r="G989" s="385"/>
      <c r="H989" s="401" t="s">
        <v>3305</v>
      </c>
      <c r="I989" s="385" t="str">
        <f>CONCATENATE(I990," ",N990,M990," ",I991," ",N991,M991)</f>
        <v>Замена двигателя 1шт. Замена заднего моста 1шт.</v>
      </c>
      <c r="J989" s="489" t="s">
        <v>365</v>
      </c>
      <c r="K989" s="450">
        <v>44348</v>
      </c>
      <c r="L989" s="450">
        <v>44377</v>
      </c>
      <c r="M989" s="490"/>
      <c r="N989" s="490"/>
      <c r="O989" s="384"/>
      <c r="P989" s="384"/>
      <c r="Q989" s="384"/>
      <c r="R989" s="384"/>
      <c r="S989" s="384"/>
      <c r="T989" s="384"/>
      <c r="U989" s="384"/>
      <c r="V989" s="384"/>
      <c r="W989" s="384"/>
      <c r="X989" s="384"/>
      <c r="Y989" s="384"/>
      <c r="Z989" s="384"/>
      <c r="AA989" s="384"/>
      <c r="AB989" s="384"/>
      <c r="AC989" s="384"/>
      <c r="AD989" s="384"/>
      <c r="AE989" s="384"/>
      <c r="AF989" s="384"/>
      <c r="AG989" s="384"/>
      <c r="AH989" s="384"/>
      <c r="AI989" s="384"/>
      <c r="AJ989" s="384"/>
      <c r="AK989" s="384"/>
      <c r="AL989" s="384"/>
      <c r="AM989" s="384"/>
      <c r="AN989" s="384"/>
      <c r="AO989" s="384"/>
      <c r="AP989" s="384"/>
      <c r="AQ989" s="384"/>
      <c r="AR989" s="384"/>
      <c r="AS989" s="384"/>
      <c r="AT989" s="384"/>
      <c r="AU989" s="384"/>
      <c r="AV989" s="384"/>
      <c r="AW989" s="384"/>
      <c r="AX989" s="384"/>
      <c r="AY989" s="384"/>
      <c r="AZ989" s="384"/>
      <c r="BA989" s="384"/>
      <c r="BB989" s="384"/>
      <c r="BC989" s="384"/>
      <c r="BD989" s="384"/>
      <c r="BE989" s="384"/>
      <c r="BF989" s="384"/>
      <c r="BG989" s="384"/>
      <c r="BH989" s="384"/>
      <c r="BI989" s="384"/>
      <c r="BJ989" s="384"/>
      <c r="BK989" s="384"/>
      <c r="BL989" s="384"/>
      <c r="BM989" s="384"/>
      <c r="BN989" s="384"/>
      <c r="BO989" s="384"/>
      <c r="BP989" s="384"/>
      <c r="BQ989" s="384"/>
      <c r="BR989" s="384"/>
      <c r="BS989" s="384"/>
      <c r="BT989" s="384"/>
      <c r="BU989" s="384"/>
      <c r="BV989" s="384"/>
      <c r="BW989" s="384"/>
      <c r="BX989" s="384"/>
      <c r="BY989" s="384"/>
      <c r="BZ989" s="384"/>
      <c r="CA989" s="384"/>
      <c r="CB989" s="384"/>
      <c r="CC989" s="384"/>
      <c r="CD989" s="384"/>
      <c r="CE989" s="384"/>
      <c r="CF989" s="384"/>
      <c r="CG989" s="384"/>
      <c r="CH989" s="384"/>
      <c r="CI989" s="384"/>
      <c r="CJ989" s="384"/>
      <c r="CK989" s="384"/>
      <c r="CL989" s="384"/>
      <c r="CM989" s="384"/>
      <c r="CN989" s="384"/>
      <c r="CO989" s="384"/>
      <c r="CP989" s="384"/>
      <c r="CQ989" s="384"/>
      <c r="CR989" s="384"/>
      <c r="CS989" s="384"/>
      <c r="CT989" s="384"/>
      <c r="CU989" s="384"/>
      <c r="CV989" s="384"/>
      <c r="CW989" s="384"/>
      <c r="CX989" s="384"/>
      <c r="CY989" s="384"/>
      <c r="CZ989" s="384"/>
      <c r="DA989" s="384"/>
      <c r="DB989" s="384"/>
      <c r="DC989" s="384"/>
      <c r="DD989" s="384"/>
      <c r="DE989" s="384"/>
      <c r="DF989" s="384"/>
      <c r="DG989" s="384"/>
      <c r="DH989" s="384"/>
      <c r="DI989" s="384"/>
      <c r="DJ989" s="384"/>
      <c r="DK989" s="384"/>
      <c r="DL989" s="384"/>
      <c r="DM989" s="384"/>
      <c r="DN989" s="384"/>
      <c r="DO989" s="384"/>
      <c r="DP989" s="384"/>
      <c r="DQ989" s="384"/>
      <c r="DR989" s="384"/>
      <c r="DS989" s="384"/>
      <c r="DT989" s="384"/>
      <c r="DU989" s="384"/>
      <c r="DV989" s="384"/>
      <c r="DW989" s="384"/>
      <c r="DX989" s="384"/>
      <c r="DY989" s="384"/>
      <c r="DZ989" s="384"/>
    </row>
    <row r="990" spans="1:130" hidden="1" outlineLevel="3">
      <c r="A990" s="438"/>
      <c r="B990" s="490"/>
      <c r="C990" s="398"/>
      <c r="D990" s="399"/>
      <c r="E990" s="385"/>
      <c r="F990" s="385"/>
      <c r="G990" s="385"/>
      <c r="H990" s="401"/>
      <c r="I990" s="385" t="s">
        <v>3306</v>
      </c>
      <c r="J990" s="489" t="s">
        <v>365</v>
      </c>
      <c r="K990" s="412"/>
      <c r="L990" s="412"/>
      <c r="M990" s="490" t="s">
        <v>37</v>
      </c>
      <c r="N990" s="490">
        <v>1</v>
      </c>
    </row>
    <row r="991" spans="1:130" hidden="1" outlineLevel="3">
      <c r="A991" s="438"/>
      <c r="B991" s="490"/>
      <c r="C991" s="398"/>
      <c r="D991" s="399"/>
      <c r="E991" s="385"/>
      <c r="F991" s="385"/>
      <c r="G991" s="385"/>
      <c r="H991" s="401"/>
      <c r="I991" s="385" t="s">
        <v>3307</v>
      </c>
      <c r="J991" s="489" t="s">
        <v>365</v>
      </c>
      <c r="K991" s="412"/>
      <c r="L991" s="412"/>
      <c r="M991" s="490" t="s">
        <v>37</v>
      </c>
      <c r="N991" s="490">
        <v>1</v>
      </c>
    </row>
    <row r="992" spans="1:130" s="411" customFormat="1" ht="81" hidden="1" outlineLevel="2" collapsed="1">
      <c r="A992" s="489" t="s">
        <v>1436</v>
      </c>
      <c r="B992" s="490"/>
      <c r="C992" s="398" t="s">
        <v>578</v>
      </c>
      <c r="D992" s="399" t="s">
        <v>391</v>
      </c>
      <c r="E992" s="490" t="s">
        <v>948</v>
      </c>
      <c r="F992" s="385" t="s">
        <v>303</v>
      </c>
      <c r="G992" s="385"/>
      <c r="H992" s="401" t="s">
        <v>1666</v>
      </c>
      <c r="I992" s="385" t="str">
        <f>CONCATENATE(I993," ",N993,M993," ",I994," ",N994,M994," ",I995," ",N995,M995," ",I996," ",N996,M996," ",I997," ",N997,M997,)</f>
        <v>Замена карбюратора 1шт. Замена барабана тормозного переднего 2шт. Замена барабана тормозного заднего 2шт. Замена колодки передней 4шт. Замена колодки задней 4шт.</v>
      </c>
      <c r="J992" s="489" t="s">
        <v>365</v>
      </c>
      <c r="K992" s="450">
        <v>44348</v>
      </c>
      <c r="L992" s="450">
        <v>44500</v>
      </c>
      <c r="M992" s="490"/>
      <c r="N992" s="490"/>
      <c r="O992" s="384"/>
      <c r="P992" s="384"/>
      <c r="Q992" s="384"/>
      <c r="R992" s="384"/>
      <c r="S992" s="384"/>
      <c r="T992" s="384"/>
      <c r="U992" s="384"/>
      <c r="V992" s="384"/>
      <c r="W992" s="384"/>
      <c r="X992" s="384"/>
      <c r="Y992" s="384"/>
      <c r="Z992" s="384"/>
      <c r="AA992" s="384"/>
      <c r="AB992" s="384"/>
      <c r="AC992" s="384"/>
      <c r="AD992" s="384"/>
      <c r="AE992" s="384"/>
      <c r="AF992" s="384"/>
      <c r="AG992" s="384"/>
      <c r="AH992" s="384"/>
      <c r="AI992" s="384"/>
      <c r="AJ992" s="384"/>
      <c r="AK992" s="384"/>
      <c r="AL992" s="384"/>
      <c r="AM992" s="384"/>
      <c r="AN992" s="384"/>
      <c r="AO992" s="384"/>
      <c r="AP992" s="384"/>
      <c r="AQ992" s="384"/>
      <c r="AR992" s="384"/>
      <c r="AS992" s="384"/>
      <c r="AT992" s="384"/>
      <c r="AU992" s="384"/>
      <c r="AV992" s="384"/>
      <c r="AW992" s="384"/>
      <c r="AX992" s="384"/>
      <c r="AY992" s="384"/>
      <c r="AZ992" s="384"/>
      <c r="BA992" s="384"/>
      <c r="BB992" s="384"/>
      <c r="BC992" s="384"/>
      <c r="BD992" s="384"/>
      <c r="BE992" s="384"/>
      <c r="BF992" s="384"/>
      <c r="BG992" s="384"/>
      <c r="BH992" s="384"/>
      <c r="BI992" s="384"/>
      <c r="BJ992" s="384"/>
      <c r="BK992" s="384"/>
      <c r="BL992" s="384"/>
      <c r="BM992" s="384"/>
      <c r="BN992" s="384"/>
      <c r="BO992" s="384"/>
      <c r="BP992" s="384"/>
      <c r="BQ992" s="384"/>
      <c r="BR992" s="384"/>
      <c r="BS992" s="384"/>
      <c r="BT992" s="384"/>
      <c r="BU992" s="384"/>
      <c r="BV992" s="384"/>
      <c r="BW992" s="384"/>
      <c r="BX992" s="384"/>
      <c r="BY992" s="384"/>
      <c r="BZ992" s="384"/>
      <c r="CA992" s="384"/>
      <c r="CB992" s="384"/>
      <c r="CC992" s="384"/>
      <c r="CD992" s="384"/>
      <c r="CE992" s="384"/>
      <c r="CF992" s="384"/>
      <c r="CG992" s="384"/>
      <c r="CH992" s="384"/>
      <c r="CI992" s="384"/>
      <c r="CJ992" s="384"/>
      <c r="CK992" s="384"/>
      <c r="CL992" s="384"/>
      <c r="CM992" s="384"/>
      <c r="CN992" s="384"/>
      <c r="CO992" s="384"/>
      <c r="CP992" s="384"/>
      <c r="CQ992" s="384"/>
      <c r="CR992" s="384"/>
      <c r="CS992" s="384"/>
      <c r="CT992" s="384"/>
      <c r="CU992" s="384"/>
      <c r="CV992" s="384"/>
      <c r="CW992" s="384"/>
      <c r="CX992" s="384"/>
      <c r="CY992" s="384"/>
      <c r="CZ992" s="384"/>
      <c r="DA992" s="384"/>
      <c r="DB992" s="384"/>
      <c r="DC992" s="384"/>
      <c r="DD992" s="384"/>
      <c r="DE992" s="384"/>
      <c r="DF992" s="384"/>
      <c r="DG992" s="384"/>
      <c r="DH992" s="384"/>
      <c r="DI992" s="384"/>
      <c r="DJ992" s="384"/>
      <c r="DK992" s="384"/>
      <c r="DL992" s="384"/>
      <c r="DM992" s="384"/>
      <c r="DN992" s="384"/>
      <c r="DO992" s="384"/>
      <c r="DP992" s="384"/>
      <c r="DQ992" s="384"/>
      <c r="DR992" s="384"/>
      <c r="DS992" s="384"/>
      <c r="DT992" s="384"/>
      <c r="DU992" s="384"/>
      <c r="DV992" s="384"/>
      <c r="DW992" s="384"/>
      <c r="DX992" s="384"/>
      <c r="DY992" s="384"/>
      <c r="DZ992" s="384"/>
    </row>
    <row r="993" spans="1:130" hidden="1" outlineLevel="3">
      <c r="A993" s="438"/>
      <c r="B993" s="490"/>
      <c r="C993" s="398"/>
      <c r="D993" s="399"/>
      <c r="E993" s="385"/>
      <c r="F993" s="385"/>
      <c r="G993" s="385"/>
      <c r="H993" s="401"/>
      <c r="I993" s="385" t="s">
        <v>1629</v>
      </c>
      <c r="J993" s="489" t="s">
        <v>365</v>
      </c>
      <c r="K993" s="412"/>
      <c r="L993" s="412"/>
      <c r="M993" s="490" t="s">
        <v>37</v>
      </c>
      <c r="N993" s="490">
        <v>1</v>
      </c>
    </row>
    <row r="994" spans="1:130" hidden="1" outlineLevel="3">
      <c r="A994" s="438"/>
      <c r="B994" s="490"/>
      <c r="C994" s="398"/>
      <c r="D994" s="399"/>
      <c r="E994" s="385"/>
      <c r="F994" s="385"/>
      <c r="G994" s="385"/>
      <c r="H994" s="401"/>
      <c r="I994" s="385" t="s">
        <v>1630</v>
      </c>
      <c r="J994" s="489" t="s">
        <v>365</v>
      </c>
      <c r="K994" s="412"/>
      <c r="L994" s="412"/>
      <c r="M994" s="490" t="s">
        <v>37</v>
      </c>
      <c r="N994" s="490">
        <v>2</v>
      </c>
    </row>
    <row r="995" spans="1:130" hidden="1" outlineLevel="3">
      <c r="A995" s="438"/>
      <c r="B995" s="490"/>
      <c r="C995" s="398"/>
      <c r="D995" s="399"/>
      <c r="E995" s="385"/>
      <c r="F995" s="385"/>
      <c r="G995" s="385"/>
      <c r="H995" s="401"/>
      <c r="I995" s="385" t="s">
        <v>1631</v>
      </c>
      <c r="J995" s="489" t="s">
        <v>365</v>
      </c>
      <c r="K995" s="412"/>
      <c r="L995" s="412"/>
      <c r="M995" s="490" t="s">
        <v>37</v>
      </c>
      <c r="N995" s="490">
        <v>2</v>
      </c>
    </row>
    <row r="996" spans="1:130" hidden="1" outlineLevel="3">
      <c r="A996" s="438"/>
      <c r="B996" s="490"/>
      <c r="C996" s="398"/>
      <c r="D996" s="399"/>
      <c r="E996" s="385"/>
      <c r="F996" s="385"/>
      <c r="G996" s="385"/>
      <c r="H996" s="401"/>
      <c r="I996" s="385" t="s">
        <v>1632</v>
      </c>
      <c r="J996" s="489" t="s">
        <v>365</v>
      </c>
      <c r="K996" s="412"/>
      <c r="L996" s="412"/>
      <c r="M996" s="490" t="s">
        <v>37</v>
      </c>
      <c r="N996" s="490">
        <v>4</v>
      </c>
    </row>
    <row r="997" spans="1:130" hidden="1" outlineLevel="3">
      <c r="A997" s="438"/>
      <c r="B997" s="490"/>
      <c r="C997" s="398"/>
      <c r="D997" s="399"/>
      <c r="E997" s="385"/>
      <c r="F997" s="385"/>
      <c r="G997" s="385"/>
      <c r="H997" s="401"/>
      <c r="I997" s="385" t="s">
        <v>1633</v>
      </c>
      <c r="J997" s="489" t="s">
        <v>365</v>
      </c>
      <c r="K997" s="412"/>
      <c r="L997" s="412"/>
      <c r="M997" s="490" t="s">
        <v>37</v>
      </c>
      <c r="N997" s="490">
        <v>4</v>
      </c>
    </row>
    <row r="998" spans="1:130" s="411" customFormat="1" ht="81" hidden="1" outlineLevel="2" collapsed="1">
      <c r="A998" s="489" t="s">
        <v>1656</v>
      </c>
      <c r="B998" s="490"/>
      <c r="C998" s="398" t="s">
        <v>578</v>
      </c>
      <c r="D998" s="399" t="s">
        <v>391</v>
      </c>
      <c r="E998" s="490" t="s">
        <v>949</v>
      </c>
      <c r="F998" s="385" t="s">
        <v>303</v>
      </c>
      <c r="G998" s="385"/>
      <c r="H998" s="401" t="s">
        <v>1667</v>
      </c>
      <c r="I998" s="385" t="str">
        <f>CONCATENATE(I999," ",N999,M999," ",I1000," ",N1000,M1000," ",I1001," ",N1001,M1001," ",I1002,N1002," ",M1002," ",I1003," ",N1003,M1003," ",I1004," ",N1004,M1004," ",)</f>
        <v xml:space="preserve">Замена барабана тормозного 4шт. Замена колодки 8шт. Замена коробки передач 1шт. Замена бака топливного1 шт. Замена подножки кабины 2шт. Замена коленвала 1шт. </v>
      </c>
      <c r="J998" s="489" t="s">
        <v>365</v>
      </c>
      <c r="K998" s="450">
        <v>44348</v>
      </c>
      <c r="L998" s="450">
        <v>44500</v>
      </c>
      <c r="M998" s="490"/>
      <c r="N998" s="490"/>
      <c r="O998" s="384"/>
      <c r="P998" s="384"/>
      <c r="Q998" s="384"/>
      <c r="R998" s="384"/>
      <c r="S998" s="384"/>
      <c r="T998" s="384"/>
      <c r="U998" s="384"/>
      <c r="V998" s="384"/>
      <c r="W998" s="384"/>
      <c r="X998" s="384"/>
      <c r="Y998" s="384"/>
      <c r="Z998" s="384"/>
      <c r="AA998" s="384"/>
      <c r="AB998" s="384"/>
      <c r="AC998" s="384"/>
      <c r="AD998" s="384"/>
      <c r="AE998" s="384"/>
      <c r="AF998" s="384"/>
      <c r="AG998" s="384"/>
      <c r="AH998" s="384"/>
      <c r="AI998" s="384"/>
      <c r="AJ998" s="384"/>
      <c r="AK998" s="384"/>
      <c r="AL998" s="384"/>
      <c r="AM998" s="384"/>
      <c r="AN998" s="384"/>
      <c r="AO998" s="384"/>
      <c r="AP998" s="384"/>
      <c r="AQ998" s="384"/>
      <c r="AR998" s="384"/>
      <c r="AS998" s="384"/>
      <c r="AT998" s="384"/>
      <c r="AU998" s="384"/>
      <c r="AV998" s="384"/>
      <c r="AW998" s="384"/>
      <c r="AX998" s="384"/>
      <c r="AY998" s="384"/>
      <c r="AZ998" s="384"/>
      <c r="BA998" s="384"/>
      <c r="BB998" s="384"/>
      <c r="BC998" s="384"/>
      <c r="BD998" s="384"/>
      <c r="BE998" s="384"/>
      <c r="BF998" s="384"/>
      <c r="BG998" s="384"/>
      <c r="BH998" s="384"/>
      <c r="BI998" s="384"/>
      <c r="BJ998" s="384"/>
      <c r="BK998" s="384"/>
      <c r="BL998" s="384"/>
      <c r="BM998" s="384"/>
      <c r="BN998" s="384"/>
      <c r="BO998" s="384"/>
      <c r="BP998" s="384"/>
      <c r="BQ998" s="384"/>
      <c r="BR998" s="384"/>
      <c r="BS998" s="384"/>
      <c r="BT998" s="384"/>
      <c r="BU998" s="384"/>
      <c r="BV998" s="384"/>
      <c r="BW998" s="384"/>
      <c r="BX998" s="384"/>
      <c r="BY998" s="384"/>
      <c r="BZ998" s="384"/>
      <c r="CA998" s="384"/>
      <c r="CB998" s="384"/>
      <c r="CC998" s="384"/>
      <c r="CD998" s="384"/>
      <c r="CE998" s="384"/>
      <c r="CF998" s="384"/>
      <c r="CG998" s="384"/>
      <c r="CH998" s="384"/>
      <c r="CI998" s="384"/>
      <c r="CJ998" s="384"/>
      <c r="CK998" s="384"/>
      <c r="CL998" s="384"/>
      <c r="CM998" s="384"/>
      <c r="CN998" s="384"/>
      <c r="CO998" s="384"/>
      <c r="CP998" s="384"/>
      <c r="CQ998" s="384"/>
      <c r="CR998" s="384"/>
      <c r="CS998" s="384"/>
      <c r="CT998" s="384"/>
      <c r="CU998" s="384"/>
      <c r="CV998" s="384"/>
      <c r="CW998" s="384"/>
      <c r="CX998" s="384"/>
      <c r="CY998" s="384"/>
      <c r="CZ998" s="384"/>
      <c r="DA998" s="384"/>
      <c r="DB998" s="384"/>
      <c r="DC998" s="384"/>
      <c r="DD998" s="384"/>
      <c r="DE998" s="384"/>
      <c r="DF998" s="384"/>
      <c r="DG998" s="384"/>
      <c r="DH998" s="384"/>
      <c r="DI998" s="384"/>
      <c r="DJ998" s="384"/>
      <c r="DK998" s="384"/>
      <c r="DL998" s="384"/>
      <c r="DM998" s="384"/>
      <c r="DN998" s="384"/>
      <c r="DO998" s="384"/>
      <c r="DP998" s="384"/>
      <c r="DQ998" s="384"/>
      <c r="DR998" s="384"/>
      <c r="DS998" s="384"/>
      <c r="DT998" s="384"/>
      <c r="DU998" s="384"/>
      <c r="DV998" s="384"/>
      <c r="DW998" s="384"/>
      <c r="DX998" s="384"/>
      <c r="DY998" s="384"/>
      <c r="DZ998" s="384"/>
    </row>
    <row r="999" spans="1:130" hidden="1" outlineLevel="3">
      <c r="A999" s="438"/>
      <c r="B999" s="490"/>
      <c r="C999" s="398"/>
      <c r="D999" s="399"/>
      <c r="E999" s="385"/>
      <c r="F999" s="385"/>
      <c r="G999" s="385"/>
      <c r="H999" s="401"/>
      <c r="I999" s="385" t="s">
        <v>1634</v>
      </c>
      <c r="J999" s="489" t="s">
        <v>365</v>
      </c>
      <c r="K999" s="412"/>
      <c r="L999" s="412"/>
      <c r="M999" s="490" t="s">
        <v>37</v>
      </c>
      <c r="N999" s="490">
        <v>4</v>
      </c>
    </row>
    <row r="1000" spans="1:130" hidden="1" outlineLevel="3">
      <c r="A1000" s="438"/>
      <c r="B1000" s="490"/>
      <c r="C1000" s="398"/>
      <c r="D1000" s="399"/>
      <c r="E1000" s="385"/>
      <c r="F1000" s="385"/>
      <c r="G1000" s="385"/>
      <c r="H1000" s="401"/>
      <c r="I1000" s="385" t="s">
        <v>1635</v>
      </c>
      <c r="J1000" s="489" t="s">
        <v>365</v>
      </c>
      <c r="K1000" s="412"/>
      <c r="L1000" s="412"/>
      <c r="M1000" s="490" t="s">
        <v>37</v>
      </c>
      <c r="N1000" s="490">
        <v>8</v>
      </c>
    </row>
    <row r="1001" spans="1:130" hidden="1" outlineLevel="3">
      <c r="A1001" s="438"/>
      <c r="B1001" s="490"/>
      <c r="C1001" s="398"/>
      <c r="D1001" s="399"/>
      <c r="E1001" s="385"/>
      <c r="F1001" s="385"/>
      <c r="G1001" s="385"/>
      <c r="H1001" s="401"/>
      <c r="I1001" s="385" t="s">
        <v>1636</v>
      </c>
      <c r="J1001" s="489" t="s">
        <v>365</v>
      </c>
      <c r="K1001" s="412"/>
      <c r="L1001" s="412"/>
      <c r="M1001" s="490" t="s">
        <v>37</v>
      </c>
      <c r="N1001" s="490">
        <v>1</v>
      </c>
    </row>
    <row r="1002" spans="1:130" hidden="1" outlineLevel="3">
      <c r="A1002" s="438"/>
      <c r="B1002" s="490"/>
      <c r="C1002" s="398"/>
      <c r="D1002" s="399"/>
      <c r="E1002" s="385"/>
      <c r="F1002" s="385"/>
      <c r="G1002" s="385"/>
      <c r="H1002" s="401"/>
      <c r="I1002" s="385" t="s">
        <v>1637</v>
      </c>
      <c r="J1002" s="489" t="s">
        <v>365</v>
      </c>
      <c r="K1002" s="412"/>
      <c r="L1002" s="412"/>
      <c r="M1002" s="490" t="s">
        <v>37</v>
      </c>
      <c r="N1002" s="490">
        <v>1</v>
      </c>
    </row>
    <row r="1003" spans="1:130" hidden="1" outlineLevel="3">
      <c r="A1003" s="438"/>
      <c r="B1003" s="490"/>
      <c r="C1003" s="398"/>
      <c r="D1003" s="399"/>
      <c r="E1003" s="385"/>
      <c r="F1003" s="385"/>
      <c r="G1003" s="385"/>
      <c r="H1003" s="401"/>
      <c r="I1003" s="385" t="s">
        <v>1638</v>
      </c>
      <c r="J1003" s="489" t="s">
        <v>365</v>
      </c>
      <c r="K1003" s="412"/>
      <c r="L1003" s="412"/>
      <c r="M1003" s="490" t="s">
        <v>37</v>
      </c>
      <c r="N1003" s="490">
        <v>2</v>
      </c>
    </row>
    <row r="1004" spans="1:130" hidden="1" outlineLevel="3">
      <c r="A1004" s="438"/>
      <c r="B1004" s="490"/>
      <c r="C1004" s="398"/>
      <c r="D1004" s="399"/>
      <c r="E1004" s="385"/>
      <c r="F1004" s="385"/>
      <c r="G1004" s="385"/>
      <c r="H1004" s="401"/>
      <c r="I1004" s="385" t="s">
        <v>1639</v>
      </c>
      <c r="J1004" s="489" t="s">
        <v>365</v>
      </c>
      <c r="K1004" s="412"/>
      <c r="L1004" s="412"/>
      <c r="M1004" s="490" t="s">
        <v>37</v>
      </c>
      <c r="N1004" s="490">
        <v>1</v>
      </c>
    </row>
    <row r="1005" spans="1:130" s="411" customFormat="1" ht="40.5" hidden="1" outlineLevel="2" collapsed="1">
      <c r="A1005" s="489" t="s">
        <v>1437</v>
      </c>
      <c r="B1005" s="490"/>
      <c r="C1005" s="398" t="s">
        <v>578</v>
      </c>
      <c r="D1005" s="399" t="s">
        <v>391</v>
      </c>
      <c r="E1005" s="490" t="s">
        <v>1547</v>
      </c>
      <c r="F1005" s="385" t="s">
        <v>303</v>
      </c>
      <c r="G1005" s="385"/>
      <c r="H1005" s="401" t="s">
        <v>1668</v>
      </c>
      <c r="I1005" s="385" t="str">
        <f>CONCATENATE(I1006," ",N1006,M1006," ",I1007,N1007," ",M1007)</f>
        <v>Замена балансира 4шт. Замена торсионного вала2 шт.</v>
      </c>
      <c r="J1005" s="489" t="s">
        <v>365</v>
      </c>
      <c r="K1005" s="450">
        <v>44348</v>
      </c>
      <c r="L1005" s="450">
        <v>44500</v>
      </c>
      <c r="M1005" s="490"/>
      <c r="N1005" s="490"/>
      <c r="O1005" s="384"/>
      <c r="P1005" s="384"/>
      <c r="Q1005" s="384"/>
      <c r="R1005" s="384"/>
      <c r="S1005" s="384"/>
      <c r="T1005" s="384"/>
      <c r="U1005" s="384"/>
      <c r="V1005" s="384"/>
      <c r="W1005" s="384"/>
      <c r="X1005" s="384"/>
      <c r="Y1005" s="384"/>
      <c r="Z1005" s="384"/>
      <c r="AA1005" s="384"/>
      <c r="AB1005" s="384"/>
      <c r="AC1005" s="384"/>
      <c r="AD1005" s="384"/>
      <c r="AE1005" s="384"/>
      <c r="AF1005" s="384"/>
      <c r="AG1005" s="384"/>
      <c r="AH1005" s="384"/>
      <c r="AI1005" s="384"/>
      <c r="AJ1005" s="384"/>
      <c r="AK1005" s="384"/>
      <c r="AL1005" s="384"/>
      <c r="AM1005" s="384"/>
      <c r="AN1005" s="384"/>
      <c r="AO1005" s="384"/>
      <c r="AP1005" s="384"/>
      <c r="AQ1005" s="384"/>
      <c r="AR1005" s="384"/>
      <c r="AS1005" s="384"/>
      <c r="AT1005" s="384"/>
      <c r="AU1005" s="384"/>
      <c r="AV1005" s="384"/>
      <c r="AW1005" s="384"/>
      <c r="AX1005" s="384"/>
      <c r="AY1005" s="384"/>
      <c r="AZ1005" s="384"/>
      <c r="BA1005" s="384"/>
      <c r="BB1005" s="384"/>
      <c r="BC1005" s="384"/>
      <c r="BD1005" s="384"/>
      <c r="BE1005" s="384"/>
      <c r="BF1005" s="384"/>
      <c r="BG1005" s="384"/>
      <c r="BH1005" s="384"/>
      <c r="BI1005" s="384"/>
      <c r="BJ1005" s="384"/>
      <c r="BK1005" s="384"/>
      <c r="BL1005" s="384"/>
      <c r="BM1005" s="384"/>
      <c r="BN1005" s="384"/>
      <c r="BO1005" s="384"/>
      <c r="BP1005" s="384"/>
      <c r="BQ1005" s="384"/>
      <c r="BR1005" s="384"/>
      <c r="BS1005" s="384"/>
      <c r="BT1005" s="384"/>
      <c r="BU1005" s="384"/>
      <c r="BV1005" s="384"/>
      <c r="BW1005" s="384"/>
      <c r="BX1005" s="384"/>
      <c r="BY1005" s="384"/>
      <c r="BZ1005" s="384"/>
      <c r="CA1005" s="384"/>
      <c r="CB1005" s="384"/>
      <c r="CC1005" s="384"/>
      <c r="CD1005" s="384"/>
      <c r="CE1005" s="384"/>
      <c r="CF1005" s="384"/>
      <c r="CG1005" s="384"/>
      <c r="CH1005" s="384"/>
      <c r="CI1005" s="384"/>
      <c r="CJ1005" s="384"/>
      <c r="CK1005" s="384"/>
      <c r="CL1005" s="384"/>
      <c r="CM1005" s="384"/>
      <c r="CN1005" s="384"/>
      <c r="CO1005" s="384"/>
      <c r="CP1005" s="384"/>
      <c r="CQ1005" s="384"/>
      <c r="CR1005" s="384"/>
      <c r="CS1005" s="384"/>
      <c r="CT1005" s="384"/>
      <c r="CU1005" s="384"/>
      <c r="CV1005" s="384"/>
      <c r="CW1005" s="384"/>
      <c r="CX1005" s="384"/>
      <c r="CY1005" s="384"/>
      <c r="CZ1005" s="384"/>
      <c r="DA1005" s="384"/>
      <c r="DB1005" s="384"/>
      <c r="DC1005" s="384"/>
      <c r="DD1005" s="384"/>
      <c r="DE1005" s="384"/>
      <c r="DF1005" s="384"/>
      <c r="DG1005" s="384"/>
      <c r="DH1005" s="384"/>
      <c r="DI1005" s="384"/>
      <c r="DJ1005" s="384"/>
      <c r="DK1005" s="384"/>
      <c r="DL1005" s="384"/>
      <c r="DM1005" s="384"/>
      <c r="DN1005" s="384"/>
      <c r="DO1005" s="384"/>
      <c r="DP1005" s="384"/>
      <c r="DQ1005" s="384"/>
      <c r="DR1005" s="384"/>
      <c r="DS1005" s="384"/>
      <c r="DT1005" s="384"/>
      <c r="DU1005" s="384"/>
      <c r="DV1005" s="384"/>
      <c r="DW1005" s="384"/>
      <c r="DX1005" s="384"/>
      <c r="DY1005" s="384"/>
      <c r="DZ1005" s="384"/>
    </row>
    <row r="1006" spans="1:130" hidden="1" outlineLevel="3">
      <c r="A1006" s="438"/>
      <c r="B1006" s="490"/>
      <c r="C1006" s="398"/>
      <c r="D1006" s="399"/>
      <c r="E1006" s="385"/>
      <c r="F1006" s="385"/>
      <c r="G1006" s="385"/>
      <c r="H1006" s="401"/>
      <c r="I1006" s="385" t="s">
        <v>1640</v>
      </c>
      <c r="J1006" s="489" t="s">
        <v>365</v>
      </c>
      <c r="K1006" s="412"/>
      <c r="L1006" s="412"/>
      <c r="M1006" s="490" t="s">
        <v>37</v>
      </c>
      <c r="N1006" s="490">
        <v>4</v>
      </c>
    </row>
    <row r="1007" spans="1:130" hidden="1" outlineLevel="3">
      <c r="A1007" s="438"/>
      <c r="B1007" s="490"/>
      <c r="C1007" s="398"/>
      <c r="D1007" s="399"/>
      <c r="E1007" s="385"/>
      <c r="F1007" s="385"/>
      <c r="G1007" s="385"/>
      <c r="H1007" s="401"/>
      <c r="I1007" s="385" t="s">
        <v>1641</v>
      </c>
      <c r="J1007" s="489" t="s">
        <v>365</v>
      </c>
      <c r="K1007" s="412"/>
      <c r="L1007" s="412"/>
      <c r="M1007" s="490" t="s">
        <v>37</v>
      </c>
      <c r="N1007" s="490">
        <v>2</v>
      </c>
    </row>
    <row r="1008" spans="1:130" s="411" customFormat="1" ht="40.5" hidden="1" outlineLevel="2" collapsed="1">
      <c r="A1008" s="489" t="s">
        <v>1438</v>
      </c>
      <c r="B1008" s="490"/>
      <c r="C1008" s="398" t="s">
        <v>578</v>
      </c>
      <c r="D1008" s="399" t="s">
        <v>391</v>
      </c>
      <c r="E1008" s="490" t="s">
        <v>951</v>
      </c>
      <c r="F1008" s="385" t="s">
        <v>303</v>
      </c>
      <c r="G1008" s="385"/>
      <c r="H1008" s="401" t="s">
        <v>1669</v>
      </c>
      <c r="I1008" s="385" t="str">
        <f>CONCATENATE(I1009," ",N1009,M1009," ",)</f>
        <v xml:space="preserve">Замена коробки раздаточной 1шт. </v>
      </c>
      <c r="J1008" s="489" t="s">
        <v>365</v>
      </c>
      <c r="K1008" s="450">
        <v>44348</v>
      </c>
      <c r="L1008" s="450">
        <v>44500</v>
      </c>
      <c r="M1008" s="490"/>
      <c r="N1008" s="490"/>
      <c r="O1008" s="384"/>
      <c r="P1008" s="384"/>
      <c r="Q1008" s="384"/>
      <c r="R1008" s="384"/>
      <c r="S1008" s="384"/>
      <c r="T1008" s="384"/>
      <c r="U1008" s="384"/>
      <c r="V1008" s="384"/>
      <c r="W1008" s="384"/>
      <c r="X1008" s="384"/>
      <c r="Y1008" s="384"/>
      <c r="Z1008" s="384"/>
      <c r="AA1008" s="384"/>
      <c r="AB1008" s="384"/>
      <c r="AC1008" s="384"/>
      <c r="AD1008" s="384"/>
      <c r="AE1008" s="384"/>
      <c r="AF1008" s="384"/>
      <c r="AG1008" s="384"/>
      <c r="AH1008" s="384"/>
      <c r="AI1008" s="384"/>
      <c r="AJ1008" s="384"/>
      <c r="AK1008" s="384"/>
      <c r="AL1008" s="384"/>
      <c r="AM1008" s="384"/>
      <c r="AN1008" s="384"/>
      <c r="AO1008" s="384"/>
      <c r="AP1008" s="384"/>
      <c r="AQ1008" s="384"/>
      <c r="AR1008" s="384"/>
      <c r="AS1008" s="384"/>
      <c r="AT1008" s="384"/>
      <c r="AU1008" s="384"/>
      <c r="AV1008" s="384"/>
      <c r="AW1008" s="384"/>
      <c r="AX1008" s="384"/>
      <c r="AY1008" s="384"/>
      <c r="AZ1008" s="384"/>
      <c r="BA1008" s="384"/>
      <c r="BB1008" s="384"/>
      <c r="BC1008" s="384"/>
      <c r="BD1008" s="384"/>
      <c r="BE1008" s="384"/>
      <c r="BF1008" s="384"/>
      <c r="BG1008" s="384"/>
      <c r="BH1008" s="384"/>
      <c r="BI1008" s="384"/>
      <c r="BJ1008" s="384"/>
      <c r="BK1008" s="384"/>
      <c r="BL1008" s="384"/>
      <c r="BM1008" s="384"/>
      <c r="BN1008" s="384"/>
      <c r="BO1008" s="384"/>
      <c r="BP1008" s="384"/>
      <c r="BQ1008" s="384"/>
      <c r="BR1008" s="384"/>
      <c r="BS1008" s="384"/>
      <c r="BT1008" s="384"/>
      <c r="BU1008" s="384"/>
      <c r="BV1008" s="384"/>
      <c r="BW1008" s="384"/>
      <c r="BX1008" s="384"/>
      <c r="BY1008" s="384"/>
      <c r="BZ1008" s="384"/>
      <c r="CA1008" s="384"/>
      <c r="CB1008" s="384"/>
      <c r="CC1008" s="384"/>
      <c r="CD1008" s="384"/>
      <c r="CE1008" s="384"/>
      <c r="CF1008" s="384"/>
      <c r="CG1008" s="384"/>
      <c r="CH1008" s="384"/>
      <c r="CI1008" s="384"/>
      <c r="CJ1008" s="384"/>
      <c r="CK1008" s="384"/>
      <c r="CL1008" s="384"/>
      <c r="CM1008" s="384"/>
      <c r="CN1008" s="384"/>
      <c r="CO1008" s="384"/>
      <c r="CP1008" s="384"/>
      <c r="CQ1008" s="384"/>
      <c r="CR1008" s="384"/>
      <c r="CS1008" s="384"/>
      <c r="CT1008" s="384"/>
      <c r="CU1008" s="384"/>
      <c r="CV1008" s="384"/>
      <c r="CW1008" s="384"/>
      <c r="CX1008" s="384"/>
      <c r="CY1008" s="384"/>
      <c r="CZ1008" s="384"/>
      <c r="DA1008" s="384"/>
      <c r="DB1008" s="384"/>
      <c r="DC1008" s="384"/>
      <c r="DD1008" s="384"/>
      <c r="DE1008" s="384"/>
      <c r="DF1008" s="384"/>
      <c r="DG1008" s="384"/>
      <c r="DH1008" s="384"/>
      <c r="DI1008" s="384"/>
      <c r="DJ1008" s="384"/>
      <c r="DK1008" s="384"/>
      <c r="DL1008" s="384"/>
      <c r="DM1008" s="384"/>
      <c r="DN1008" s="384"/>
      <c r="DO1008" s="384"/>
      <c r="DP1008" s="384"/>
      <c r="DQ1008" s="384"/>
      <c r="DR1008" s="384"/>
      <c r="DS1008" s="384"/>
      <c r="DT1008" s="384"/>
      <c r="DU1008" s="384"/>
      <c r="DV1008" s="384"/>
      <c r="DW1008" s="384"/>
      <c r="DX1008" s="384"/>
      <c r="DY1008" s="384"/>
      <c r="DZ1008" s="384"/>
    </row>
    <row r="1009" spans="1:130" hidden="1" outlineLevel="3">
      <c r="A1009" s="438"/>
      <c r="B1009" s="490"/>
      <c r="C1009" s="398"/>
      <c r="D1009" s="399"/>
      <c r="E1009" s="385"/>
      <c r="F1009" s="385"/>
      <c r="G1009" s="385"/>
      <c r="H1009" s="401"/>
      <c r="I1009" s="385" t="s">
        <v>1627</v>
      </c>
      <c r="J1009" s="489" t="s">
        <v>365</v>
      </c>
      <c r="K1009" s="412"/>
      <c r="L1009" s="412"/>
      <c r="M1009" s="490" t="s">
        <v>37</v>
      </c>
      <c r="N1009" s="490">
        <v>1</v>
      </c>
    </row>
    <row r="1010" spans="1:130" s="411" customFormat="1" ht="40.5" hidden="1" outlineLevel="2" collapsed="1">
      <c r="A1010" s="489" t="s">
        <v>1439</v>
      </c>
      <c r="B1010" s="490"/>
      <c r="C1010" s="398" t="s">
        <v>578</v>
      </c>
      <c r="D1010" s="399" t="s">
        <v>391</v>
      </c>
      <c r="E1010" s="490" t="s">
        <v>1548</v>
      </c>
      <c r="F1010" s="385" t="s">
        <v>303</v>
      </c>
      <c r="G1010" s="385"/>
      <c r="H1010" s="401" t="s">
        <v>1670</v>
      </c>
      <c r="I1010" s="385" t="str">
        <f>CONCATENATE(I1011," ",N1011,M1011," ",I1012," ",N1012,M1012," ",I1013," ",N1013,M1013," ",I1014," ",N1014,M1014," ",)</f>
        <v xml:space="preserve">Замена вала карданного 1шт. Замена моста 1шт. Замена рессоры 2шт. Замена амортизатора 2шт. </v>
      </c>
      <c r="J1010" s="489" t="s">
        <v>365</v>
      </c>
      <c r="K1010" s="450">
        <v>44348</v>
      </c>
      <c r="L1010" s="450">
        <v>44500</v>
      </c>
      <c r="M1010" s="490"/>
      <c r="N1010" s="490"/>
      <c r="O1010" s="384"/>
      <c r="P1010" s="384"/>
      <c r="Q1010" s="384"/>
      <c r="R1010" s="384"/>
      <c r="S1010" s="384"/>
      <c r="T1010" s="384"/>
      <c r="U1010" s="384"/>
      <c r="V1010" s="384"/>
      <c r="W1010" s="384"/>
      <c r="X1010" s="384"/>
      <c r="Y1010" s="384"/>
      <c r="Z1010" s="384"/>
      <c r="AA1010" s="384"/>
      <c r="AB1010" s="384"/>
      <c r="AC1010" s="384"/>
      <c r="AD1010" s="384"/>
      <c r="AE1010" s="384"/>
      <c r="AF1010" s="384"/>
      <c r="AG1010" s="384"/>
      <c r="AH1010" s="384"/>
      <c r="AI1010" s="384"/>
      <c r="AJ1010" s="384"/>
      <c r="AK1010" s="384"/>
      <c r="AL1010" s="384"/>
      <c r="AM1010" s="384"/>
      <c r="AN1010" s="384"/>
      <c r="AO1010" s="384"/>
      <c r="AP1010" s="384"/>
      <c r="AQ1010" s="384"/>
      <c r="AR1010" s="384"/>
      <c r="AS1010" s="384"/>
      <c r="AT1010" s="384"/>
      <c r="AU1010" s="384"/>
      <c r="AV1010" s="384"/>
      <c r="AW1010" s="384"/>
      <c r="AX1010" s="384"/>
      <c r="AY1010" s="384"/>
      <c r="AZ1010" s="384"/>
      <c r="BA1010" s="384"/>
      <c r="BB1010" s="384"/>
      <c r="BC1010" s="384"/>
      <c r="BD1010" s="384"/>
      <c r="BE1010" s="384"/>
      <c r="BF1010" s="384"/>
      <c r="BG1010" s="384"/>
      <c r="BH1010" s="384"/>
      <c r="BI1010" s="384"/>
      <c r="BJ1010" s="384"/>
      <c r="BK1010" s="384"/>
      <c r="BL1010" s="384"/>
      <c r="BM1010" s="384"/>
      <c r="BN1010" s="384"/>
      <c r="BO1010" s="384"/>
      <c r="BP1010" s="384"/>
      <c r="BQ1010" s="384"/>
      <c r="BR1010" s="384"/>
      <c r="BS1010" s="384"/>
      <c r="BT1010" s="384"/>
      <c r="BU1010" s="384"/>
      <c r="BV1010" s="384"/>
      <c r="BW1010" s="384"/>
      <c r="BX1010" s="384"/>
      <c r="BY1010" s="384"/>
      <c r="BZ1010" s="384"/>
      <c r="CA1010" s="384"/>
      <c r="CB1010" s="384"/>
      <c r="CC1010" s="384"/>
      <c r="CD1010" s="384"/>
      <c r="CE1010" s="384"/>
      <c r="CF1010" s="384"/>
      <c r="CG1010" s="384"/>
      <c r="CH1010" s="384"/>
      <c r="CI1010" s="384"/>
      <c r="CJ1010" s="384"/>
      <c r="CK1010" s="384"/>
      <c r="CL1010" s="384"/>
      <c r="CM1010" s="384"/>
      <c r="CN1010" s="384"/>
      <c r="CO1010" s="384"/>
      <c r="CP1010" s="384"/>
      <c r="CQ1010" s="384"/>
      <c r="CR1010" s="384"/>
      <c r="CS1010" s="384"/>
      <c r="CT1010" s="384"/>
      <c r="CU1010" s="384"/>
      <c r="CV1010" s="384"/>
      <c r="CW1010" s="384"/>
      <c r="CX1010" s="384"/>
      <c r="CY1010" s="384"/>
      <c r="CZ1010" s="384"/>
      <c r="DA1010" s="384"/>
      <c r="DB1010" s="384"/>
      <c r="DC1010" s="384"/>
      <c r="DD1010" s="384"/>
      <c r="DE1010" s="384"/>
      <c r="DF1010" s="384"/>
      <c r="DG1010" s="384"/>
      <c r="DH1010" s="384"/>
      <c r="DI1010" s="384"/>
      <c r="DJ1010" s="384"/>
      <c r="DK1010" s="384"/>
      <c r="DL1010" s="384"/>
      <c r="DM1010" s="384"/>
      <c r="DN1010" s="384"/>
      <c r="DO1010" s="384"/>
      <c r="DP1010" s="384"/>
      <c r="DQ1010" s="384"/>
      <c r="DR1010" s="384"/>
      <c r="DS1010" s="384"/>
      <c r="DT1010" s="384"/>
      <c r="DU1010" s="384"/>
      <c r="DV1010" s="384"/>
      <c r="DW1010" s="384"/>
      <c r="DX1010" s="384"/>
      <c r="DY1010" s="384"/>
      <c r="DZ1010" s="384"/>
    </row>
    <row r="1011" spans="1:130" hidden="1" outlineLevel="3">
      <c r="A1011" s="438"/>
      <c r="B1011" s="490"/>
      <c r="C1011" s="398"/>
      <c r="D1011" s="399"/>
      <c r="E1011" s="385"/>
      <c r="F1011" s="385"/>
      <c r="G1011" s="385"/>
      <c r="H1011" s="401"/>
      <c r="I1011" s="385" t="s">
        <v>1642</v>
      </c>
      <c r="J1011" s="489" t="s">
        <v>365</v>
      </c>
      <c r="K1011" s="412"/>
      <c r="L1011" s="412"/>
      <c r="M1011" s="490" t="s">
        <v>37</v>
      </c>
      <c r="N1011" s="490">
        <v>1</v>
      </c>
    </row>
    <row r="1012" spans="1:130" hidden="1" outlineLevel="3">
      <c r="A1012" s="438"/>
      <c r="B1012" s="490"/>
      <c r="C1012" s="398"/>
      <c r="D1012" s="399"/>
      <c r="E1012" s="385"/>
      <c r="F1012" s="385"/>
      <c r="G1012" s="385"/>
      <c r="H1012" s="401"/>
      <c r="I1012" s="385" t="s">
        <v>1643</v>
      </c>
      <c r="J1012" s="489" t="s">
        <v>365</v>
      </c>
      <c r="K1012" s="412"/>
      <c r="L1012" s="412"/>
      <c r="M1012" s="490" t="s">
        <v>37</v>
      </c>
      <c r="N1012" s="490">
        <v>1</v>
      </c>
    </row>
    <row r="1013" spans="1:130" hidden="1" outlineLevel="3">
      <c r="A1013" s="438"/>
      <c r="B1013" s="490"/>
      <c r="C1013" s="398"/>
      <c r="D1013" s="399"/>
      <c r="E1013" s="385"/>
      <c r="F1013" s="385"/>
      <c r="G1013" s="385"/>
      <c r="H1013" s="401"/>
      <c r="I1013" s="385" t="s">
        <v>1644</v>
      </c>
      <c r="J1013" s="489" t="s">
        <v>365</v>
      </c>
      <c r="K1013" s="412"/>
      <c r="L1013" s="412"/>
      <c r="M1013" s="490" t="s">
        <v>37</v>
      </c>
      <c r="N1013" s="490">
        <v>2</v>
      </c>
    </row>
    <row r="1014" spans="1:130" hidden="1" outlineLevel="3">
      <c r="A1014" s="438"/>
      <c r="B1014" s="490"/>
      <c r="C1014" s="398"/>
      <c r="D1014" s="399"/>
      <c r="E1014" s="385"/>
      <c r="F1014" s="385"/>
      <c r="G1014" s="385"/>
      <c r="H1014" s="401"/>
      <c r="I1014" s="385" t="s">
        <v>1625</v>
      </c>
      <c r="J1014" s="489" t="s">
        <v>365</v>
      </c>
      <c r="K1014" s="412"/>
      <c r="L1014" s="412"/>
      <c r="M1014" s="490" t="s">
        <v>37</v>
      </c>
      <c r="N1014" s="490">
        <v>2</v>
      </c>
    </row>
    <row r="1015" spans="1:130" s="411" customFormat="1" ht="40.5" hidden="1" outlineLevel="2" collapsed="1">
      <c r="A1015" s="489" t="s">
        <v>1440</v>
      </c>
      <c r="B1015" s="490"/>
      <c r="C1015" s="398" t="s">
        <v>578</v>
      </c>
      <c r="D1015" s="399" t="s">
        <v>391</v>
      </c>
      <c r="E1015" s="490" t="s">
        <v>1549</v>
      </c>
      <c r="F1015" s="385" t="s">
        <v>303</v>
      </c>
      <c r="G1015" s="385"/>
      <c r="H1015" s="401" t="s">
        <v>1671</v>
      </c>
      <c r="I1015" s="385" t="str">
        <f>CONCATENATE(I1016," ",N1016,M1016)</f>
        <v>Замена радиатора системы охлаждения 1шт.</v>
      </c>
      <c r="J1015" s="489" t="s">
        <v>365</v>
      </c>
      <c r="K1015" s="450">
        <v>44348</v>
      </c>
      <c r="L1015" s="450">
        <v>44500</v>
      </c>
      <c r="M1015" s="490"/>
      <c r="N1015" s="490"/>
      <c r="O1015" s="384"/>
      <c r="P1015" s="384"/>
      <c r="Q1015" s="384"/>
      <c r="R1015" s="384"/>
      <c r="S1015" s="384"/>
      <c r="T1015" s="384"/>
      <c r="U1015" s="384"/>
      <c r="V1015" s="384"/>
      <c r="W1015" s="384"/>
      <c r="X1015" s="384"/>
      <c r="Y1015" s="384"/>
      <c r="Z1015" s="384"/>
      <c r="AA1015" s="384"/>
      <c r="AB1015" s="384"/>
      <c r="AC1015" s="384"/>
      <c r="AD1015" s="384"/>
      <c r="AE1015" s="384"/>
      <c r="AF1015" s="384"/>
      <c r="AG1015" s="384"/>
      <c r="AH1015" s="384"/>
      <c r="AI1015" s="384"/>
      <c r="AJ1015" s="384"/>
      <c r="AK1015" s="384"/>
      <c r="AL1015" s="384"/>
      <c r="AM1015" s="384"/>
      <c r="AN1015" s="384"/>
      <c r="AO1015" s="384"/>
      <c r="AP1015" s="384"/>
      <c r="AQ1015" s="384"/>
      <c r="AR1015" s="384"/>
      <c r="AS1015" s="384"/>
      <c r="AT1015" s="384"/>
      <c r="AU1015" s="384"/>
      <c r="AV1015" s="384"/>
      <c r="AW1015" s="384"/>
      <c r="AX1015" s="384"/>
      <c r="AY1015" s="384"/>
      <c r="AZ1015" s="384"/>
      <c r="BA1015" s="384"/>
      <c r="BB1015" s="384"/>
      <c r="BC1015" s="384"/>
      <c r="BD1015" s="384"/>
      <c r="BE1015" s="384"/>
      <c r="BF1015" s="384"/>
      <c r="BG1015" s="384"/>
      <c r="BH1015" s="384"/>
      <c r="BI1015" s="384"/>
      <c r="BJ1015" s="384"/>
      <c r="BK1015" s="384"/>
      <c r="BL1015" s="384"/>
      <c r="BM1015" s="384"/>
      <c r="BN1015" s="384"/>
      <c r="BO1015" s="384"/>
      <c r="BP1015" s="384"/>
      <c r="BQ1015" s="384"/>
      <c r="BR1015" s="384"/>
      <c r="BS1015" s="384"/>
      <c r="BT1015" s="384"/>
      <c r="BU1015" s="384"/>
      <c r="BV1015" s="384"/>
      <c r="BW1015" s="384"/>
      <c r="BX1015" s="384"/>
      <c r="BY1015" s="384"/>
      <c r="BZ1015" s="384"/>
      <c r="CA1015" s="384"/>
      <c r="CB1015" s="384"/>
      <c r="CC1015" s="384"/>
      <c r="CD1015" s="384"/>
      <c r="CE1015" s="384"/>
      <c r="CF1015" s="384"/>
      <c r="CG1015" s="384"/>
      <c r="CH1015" s="384"/>
      <c r="CI1015" s="384"/>
      <c r="CJ1015" s="384"/>
      <c r="CK1015" s="384"/>
      <c r="CL1015" s="384"/>
      <c r="CM1015" s="384"/>
      <c r="CN1015" s="384"/>
      <c r="CO1015" s="384"/>
      <c r="CP1015" s="384"/>
      <c r="CQ1015" s="384"/>
      <c r="CR1015" s="384"/>
      <c r="CS1015" s="384"/>
      <c r="CT1015" s="384"/>
      <c r="CU1015" s="384"/>
      <c r="CV1015" s="384"/>
      <c r="CW1015" s="384"/>
      <c r="CX1015" s="384"/>
      <c r="CY1015" s="384"/>
      <c r="CZ1015" s="384"/>
      <c r="DA1015" s="384"/>
      <c r="DB1015" s="384"/>
      <c r="DC1015" s="384"/>
      <c r="DD1015" s="384"/>
      <c r="DE1015" s="384"/>
      <c r="DF1015" s="384"/>
      <c r="DG1015" s="384"/>
      <c r="DH1015" s="384"/>
      <c r="DI1015" s="384"/>
      <c r="DJ1015" s="384"/>
      <c r="DK1015" s="384"/>
      <c r="DL1015" s="384"/>
      <c r="DM1015" s="384"/>
      <c r="DN1015" s="384"/>
      <c r="DO1015" s="384"/>
      <c r="DP1015" s="384"/>
      <c r="DQ1015" s="384"/>
      <c r="DR1015" s="384"/>
      <c r="DS1015" s="384"/>
      <c r="DT1015" s="384"/>
      <c r="DU1015" s="384"/>
      <c r="DV1015" s="384"/>
      <c r="DW1015" s="384"/>
      <c r="DX1015" s="384"/>
      <c r="DY1015" s="384"/>
      <c r="DZ1015" s="384"/>
    </row>
    <row r="1016" spans="1:130" hidden="1" outlineLevel="3">
      <c r="A1016" s="438"/>
      <c r="B1016" s="490"/>
      <c r="C1016" s="398"/>
      <c r="D1016" s="399"/>
      <c r="E1016" s="385"/>
      <c r="F1016" s="385"/>
      <c r="G1016" s="385"/>
      <c r="H1016" s="401"/>
      <c r="I1016" s="385" t="s">
        <v>1645</v>
      </c>
      <c r="J1016" s="489" t="s">
        <v>365</v>
      </c>
      <c r="K1016" s="412"/>
      <c r="L1016" s="412"/>
      <c r="M1016" s="490" t="s">
        <v>37</v>
      </c>
      <c r="N1016" s="490">
        <v>1</v>
      </c>
    </row>
    <row r="1017" spans="1:130" s="411" customFormat="1" ht="40.5" hidden="1" outlineLevel="2" collapsed="1">
      <c r="A1017" s="489" t="s">
        <v>1441</v>
      </c>
      <c r="B1017" s="490"/>
      <c r="C1017" s="398" t="s">
        <v>578</v>
      </c>
      <c r="D1017" s="399" t="s">
        <v>391</v>
      </c>
      <c r="E1017" s="490" t="s">
        <v>952</v>
      </c>
      <c r="F1017" s="385" t="s">
        <v>303</v>
      </c>
      <c r="G1017" s="385"/>
      <c r="H1017" s="401" t="s">
        <v>1672</v>
      </c>
      <c r="I1017" s="385" t="str">
        <f>CONCATENATE(I1018," ",N1018,M1018," ",)</f>
        <v xml:space="preserve">Замена амортизатора 4шт. </v>
      </c>
      <c r="J1017" s="489" t="s">
        <v>365</v>
      </c>
      <c r="K1017" s="450">
        <v>44348</v>
      </c>
      <c r="L1017" s="450">
        <v>44500</v>
      </c>
      <c r="M1017" s="490"/>
      <c r="N1017" s="490"/>
      <c r="O1017" s="384"/>
      <c r="P1017" s="384"/>
      <c r="Q1017" s="384"/>
      <c r="R1017" s="384"/>
      <c r="S1017" s="384"/>
      <c r="T1017" s="384"/>
      <c r="U1017" s="384"/>
      <c r="V1017" s="384"/>
      <c r="W1017" s="384"/>
      <c r="X1017" s="384"/>
      <c r="Y1017" s="384"/>
      <c r="Z1017" s="384"/>
      <c r="AA1017" s="384"/>
      <c r="AB1017" s="384"/>
      <c r="AC1017" s="384"/>
      <c r="AD1017" s="384"/>
      <c r="AE1017" s="384"/>
      <c r="AF1017" s="384"/>
      <c r="AG1017" s="384"/>
      <c r="AH1017" s="384"/>
      <c r="AI1017" s="384"/>
      <c r="AJ1017" s="384"/>
      <c r="AK1017" s="384"/>
      <c r="AL1017" s="384"/>
      <c r="AM1017" s="384"/>
      <c r="AN1017" s="384"/>
      <c r="AO1017" s="384"/>
      <c r="AP1017" s="384"/>
      <c r="AQ1017" s="384"/>
      <c r="AR1017" s="384"/>
      <c r="AS1017" s="384"/>
      <c r="AT1017" s="384"/>
      <c r="AU1017" s="384"/>
      <c r="AV1017" s="384"/>
      <c r="AW1017" s="384"/>
      <c r="AX1017" s="384"/>
      <c r="AY1017" s="384"/>
      <c r="AZ1017" s="384"/>
      <c r="BA1017" s="384"/>
      <c r="BB1017" s="384"/>
      <c r="BC1017" s="384"/>
      <c r="BD1017" s="384"/>
      <c r="BE1017" s="384"/>
      <c r="BF1017" s="384"/>
      <c r="BG1017" s="384"/>
      <c r="BH1017" s="384"/>
      <c r="BI1017" s="384"/>
      <c r="BJ1017" s="384"/>
      <c r="BK1017" s="384"/>
      <c r="BL1017" s="384"/>
      <c r="BM1017" s="384"/>
      <c r="BN1017" s="384"/>
      <c r="BO1017" s="384"/>
      <c r="BP1017" s="384"/>
      <c r="BQ1017" s="384"/>
      <c r="BR1017" s="384"/>
      <c r="BS1017" s="384"/>
      <c r="BT1017" s="384"/>
      <c r="BU1017" s="384"/>
      <c r="BV1017" s="384"/>
      <c r="BW1017" s="384"/>
      <c r="BX1017" s="384"/>
      <c r="BY1017" s="384"/>
      <c r="BZ1017" s="384"/>
      <c r="CA1017" s="384"/>
      <c r="CB1017" s="384"/>
      <c r="CC1017" s="384"/>
      <c r="CD1017" s="384"/>
      <c r="CE1017" s="384"/>
      <c r="CF1017" s="384"/>
      <c r="CG1017" s="384"/>
      <c r="CH1017" s="384"/>
      <c r="CI1017" s="384"/>
      <c r="CJ1017" s="384"/>
      <c r="CK1017" s="384"/>
      <c r="CL1017" s="384"/>
      <c r="CM1017" s="384"/>
      <c r="CN1017" s="384"/>
      <c r="CO1017" s="384"/>
      <c r="CP1017" s="384"/>
      <c r="CQ1017" s="384"/>
      <c r="CR1017" s="384"/>
      <c r="CS1017" s="384"/>
      <c r="CT1017" s="384"/>
      <c r="CU1017" s="384"/>
      <c r="CV1017" s="384"/>
      <c r="CW1017" s="384"/>
      <c r="CX1017" s="384"/>
      <c r="CY1017" s="384"/>
      <c r="CZ1017" s="384"/>
      <c r="DA1017" s="384"/>
      <c r="DB1017" s="384"/>
      <c r="DC1017" s="384"/>
      <c r="DD1017" s="384"/>
      <c r="DE1017" s="384"/>
      <c r="DF1017" s="384"/>
      <c r="DG1017" s="384"/>
      <c r="DH1017" s="384"/>
      <c r="DI1017" s="384"/>
      <c r="DJ1017" s="384"/>
      <c r="DK1017" s="384"/>
      <c r="DL1017" s="384"/>
      <c r="DM1017" s="384"/>
      <c r="DN1017" s="384"/>
      <c r="DO1017" s="384"/>
      <c r="DP1017" s="384"/>
      <c r="DQ1017" s="384"/>
      <c r="DR1017" s="384"/>
      <c r="DS1017" s="384"/>
      <c r="DT1017" s="384"/>
      <c r="DU1017" s="384"/>
      <c r="DV1017" s="384"/>
      <c r="DW1017" s="384"/>
      <c r="DX1017" s="384"/>
      <c r="DY1017" s="384"/>
      <c r="DZ1017" s="384"/>
    </row>
    <row r="1018" spans="1:130" hidden="1" outlineLevel="3">
      <c r="A1018" s="438"/>
      <c r="B1018" s="490"/>
      <c r="C1018" s="398"/>
      <c r="D1018" s="399"/>
      <c r="E1018" s="385"/>
      <c r="F1018" s="385"/>
      <c r="G1018" s="385"/>
      <c r="H1018" s="401"/>
      <c r="I1018" s="385" t="s">
        <v>1625</v>
      </c>
      <c r="J1018" s="489" t="s">
        <v>365</v>
      </c>
      <c r="K1018" s="412"/>
      <c r="L1018" s="412"/>
      <c r="M1018" s="490" t="s">
        <v>37</v>
      </c>
      <c r="N1018" s="490">
        <v>4</v>
      </c>
    </row>
    <row r="1019" spans="1:130" s="411" customFormat="1" ht="40.5" hidden="1" outlineLevel="2" collapsed="1">
      <c r="A1019" s="489" t="s">
        <v>1442</v>
      </c>
      <c r="B1019" s="490"/>
      <c r="C1019" s="398" t="s">
        <v>578</v>
      </c>
      <c r="D1019" s="399" t="s">
        <v>391</v>
      </c>
      <c r="E1019" s="490" t="s">
        <v>1550</v>
      </c>
      <c r="F1019" s="385" t="s">
        <v>303</v>
      </c>
      <c r="G1019" s="385"/>
      <c r="H1019" s="401" t="s">
        <v>1673</v>
      </c>
      <c r="I1019" s="385" t="str">
        <f>CONCATENATE(I1020," ",N1020,M1020," ",I1021," ",N1021,M1021," ",I1022," ",N1022,M1022," ",)</f>
        <v xml:space="preserve">Замена ножа отвала 4шт. Замена гидрораспределителя 2шт. Замена гидронасоса 1шт. </v>
      </c>
      <c r="J1019" s="489" t="s">
        <v>365</v>
      </c>
      <c r="K1019" s="450">
        <v>44348</v>
      </c>
      <c r="L1019" s="450">
        <v>44500</v>
      </c>
      <c r="M1019" s="490"/>
      <c r="N1019" s="490"/>
      <c r="O1019" s="384"/>
      <c r="P1019" s="384"/>
      <c r="Q1019" s="384"/>
      <c r="R1019" s="384"/>
      <c r="S1019" s="384"/>
      <c r="T1019" s="384"/>
      <c r="U1019" s="384"/>
      <c r="V1019" s="384"/>
      <c r="W1019" s="384"/>
      <c r="X1019" s="384"/>
      <c r="Y1019" s="384"/>
      <c r="Z1019" s="384"/>
      <c r="AA1019" s="384"/>
      <c r="AB1019" s="384"/>
      <c r="AC1019" s="384"/>
      <c r="AD1019" s="384"/>
      <c r="AE1019" s="384"/>
      <c r="AF1019" s="384"/>
      <c r="AG1019" s="384"/>
      <c r="AH1019" s="384"/>
      <c r="AI1019" s="384"/>
      <c r="AJ1019" s="384"/>
      <c r="AK1019" s="384"/>
      <c r="AL1019" s="384"/>
      <c r="AM1019" s="384"/>
      <c r="AN1019" s="384"/>
      <c r="AO1019" s="384"/>
      <c r="AP1019" s="384"/>
      <c r="AQ1019" s="384"/>
      <c r="AR1019" s="384"/>
      <c r="AS1019" s="384"/>
      <c r="AT1019" s="384"/>
      <c r="AU1019" s="384"/>
      <c r="AV1019" s="384"/>
      <c r="AW1019" s="384"/>
      <c r="AX1019" s="384"/>
      <c r="AY1019" s="384"/>
      <c r="AZ1019" s="384"/>
      <c r="BA1019" s="384"/>
      <c r="BB1019" s="384"/>
      <c r="BC1019" s="384"/>
      <c r="BD1019" s="384"/>
      <c r="BE1019" s="384"/>
      <c r="BF1019" s="384"/>
      <c r="BG1019" s="384"/>
      <c r="BH1019" s="384"/>
      <c r="BI1019" s="384"/>
      <c r="BJ1019" s="384"/>
      <c r="BK1019" s="384"/>
      <c r="BL1019" s="384"/>
      <c r="BM1019" s="384"/>
      <c r="BN1019" s="384"/>
      <c r="BO1019" s="384"/>
      <c r="BP1019" s="384"/>
      <c r="BQ1019" s="384"/>
      <c r="BR1019" s="384"/>
      <c r="BS1019" s="384"/>
      <c r="BT1019" s="384"/>
      <c r="BU1019" s="384"/>
      <c r="BV1019" s="384"/>
      <c r="BW1019" s="384"/>
      <c r="BX1019" s="384"/>
      <c r="BY1019" s="384"/>
      <c r="BZ1019" s="384"/>
      <c r="CA1019" s="384"/>
      <c r="CB1019" s="384"/>
      <c r="CC1019" s="384"/>
      <c r="CD1019" s="384"/>
      <c r="CE1019" s="384"/>
      <c r="CF1019" s="384"/>
      <c r="CG1019" s="384"/>
      <c r="CH1019" s="384"/>
      <c r="CI1019" s="384"/>
      <c r="CJ1019" s="384"/>
      <c r="CK1019" s="384"/>
      <c r="CL1019" s="384"/>
      <c r="CM1019" s="384"/>
      <c r="CN1019" s="384"/>
      <c r="CO1019" s="384"/>
      <c r="CP1019" s="384"/>
      <c r="CQ1019" s="384"/>
      <c r="CR1019" s="384"/>
      <c r="CS1019" s="384"/>
      <c r="CT1019" s="384"/>
      <c r="CU1019" s="384"/>
      <c r="CV1019" s="384"/>
      <c r="CW1019" s="384"/>
      <c r="CX1019" s="384"/>
      <c r="CY1019" s="384"/>
      <c r="CZ1019" s="384"/>
      <c r="DA1019" s="384"/>
      <c r="DB1019" s="384"/>
      <c r="DC1019" s="384"/>
      <c r="DD1019" s="384"/>
      <c r="DE1019" s="384"/>
      <c r="DF1019" s="384"/>
      <c r="DG1019" s="384"/>
      <c r="DH1019" s="384"/>
      <c r="DI1019" s="384"/>
      <c r="DJ1019" s="384"/>
      <c r="DK1019" s="384"/>
      <c r="DL1019" s="384"/>
      <c r="DM1019" s="384"/>
      <c r="DN1019" s="384"/>
      <c r="DO1019" s="384"/>
      <c r="DP1019" s="384"/>
      <c r="DQ1019" s="384"/>
      <c r="DR1019" s="384"/>
      <c r="DS1019" s="384"/>
      <c r="DT1019" s="384"/>
      <c r="DU1019" s="384"/>
      <c r="DV1019" s="384"/>
      <c r="DW1019" s="384"/>
      <c r="DX1019" s="384"/>
      <c r="DY1019" s="384"/>
      <c r="DZ1019" s="384"/>
    </row>
    <row r="1020" spans="1:130" hidden="1" outlineLevel="3">
      <c r="A1020" s="438"/>
      <c r="B1020" s="490"/>
      <c r="C1020" s="398"/>
      <c r="D1020" s="399"/>
      <c r="E1020" s="385"/>
      <c r="F1020" s="385"/>
      <c r="G1020" s="385"/>
      <c r="H1020" s="401"/>
      <c r="I1020" s="385" t="s">
        <v>1646</v>
      </c>
      <c r="J1020" s="489" t="s">
        <v>365</v>
      </c>
      <c r="K1020" s="412"/>
      <c r="L1020" s="412"/>
      <c r="M1020" s="490" t="s">
        <v>37</v>
      </c>
      <c r="N1020" s="490">
        <v>4</v>
      </c>
    </row>
    <row r="1021" spans="1:130" hidden="1" outlineLevel="3">
      <c r="A1021" s="438"/>
      <c r="B1021" s="490"/>
      <c r="C1021" s="398"/>
      <c r="D1021" s="399"/>
      <c r="E1021" s="385"/>
      <c r="F1021" s="385"/>
      <c r="G1021" s="385"/>
      <c r="H1021" s="401"/>
      <c r="I1021" s="385" t="s">
        <v>1647</v>
      </c>
      <c r="J1021" s="489" t="s">
        <v>365</v>
      </c>
      <c r="K1021" s="412"/>
      <c r="L1021" s="412"/>
      <c r="M1021" s="490" t="s">
        <v>37</v>
      </c>
      <c r="N1021" s="490">
        <v>2</v>
      </c>
    </row>
    <row r="1022" spans="1:130" hidden="1" outlineLevel="3">
      <c r="A1022" s="438"/>
      <c r="B1022" s="490"/>
      <c r="C1022" s="398"/>
      <c r="D1022" s="399"/>
      <c r="E1022" s="385"/>
      <c r="F1022" s="385"/>
      <c r="G1022" s="385"/>
      <c r="H1022" s="401"/>
      <c r="I1022" s="385" t="s">
        <v>1648</v>
      </c>
      <c r="J1022" s="489" t="s">
        <v>365</v>
      </c>
      <c r="K1022" s="412"/>
      <c r="L1022" s="412"/>
      <c r="M1022" s="490" t="s">
        <v>37</v>
      </c>
      <c r="N1022" s="490">
        <v>1</v>
      </c>
    </row>
    <row r="1023" spans="1:130" s="411" customFormat="1" ht="40.5" hidden="1" outlineLevel="2" collapsed="1">
      <c r="A1023" s="489" t="s">
        <v>1443</v>
      </c>
      <c r="B1023" s="490"/>
      <c r="C1023" s="398" t="s">
        <v>946</v>
      </c>
      <c r="D1023" s="399" t="s">
        <v>391</v>
      </c>
      <c r="E1023" s="490" t="s">
        <v>1551</v>
      </c>
      <c r="F1023" s="385" t="s">
        <v>303</v>
      </c>
      <c r="G1023" s="385"/>
      <c r="H1023" s="401" t="s">
        <v>1674</v>
      </c>
      <c r="I1023" s="385" t="str">
        <f>CONCATENATE(I1024," ",N1024,M1024," ",,)</f>
        <v xml:space="preserve">Замена коробки передач 1шт. </v>
      </c>
      <c r="J1023" s="489" t="s">
        <v>365</v>
      </c>
      <c r="K1023" s="450">
        <v>44348</v>
      </c>
      <c r="L1023" s="450">
        <v>44500</v>
      </c>
      <c r="M1023" s="490"/>
      <c r="N1023" s="490"/>
      <c r="O1023" s="384"/>
      <c r="P1023" s="384"/>
      <c r="Q1023" s="384"/>
      <c r="R1023" s="384"/>
      <c r="S1023" s="384"/>
      <c r="T1023" s="384"/>
      <c r="U1023" s="384"/>
      <c r="V1023" s="384"/>
      <c r="W1023" s="384"/>
      <c r="X1023" s="384"/>
      <c r="Y1023" s="384"/>
      <c r="Z1023" s="384"/>
      <c r="AA1023" s="384"/>
      <c r="AB1023" s="384"/>
      <c r="AC1023" s="384"/>
      <c r="AD1023" s="384"/>
      <c r="AE1023" s="384"/>
      <c r="AF1023" s="384"/>
      <c r="AG1023" s="384"/>
      <c r="AH1023" s="384"/>
      <c r="AI1023" s="384"/>
      <c r="AJ1023" s="384"/>
      <c r="AK1023" s="384"/>
      <c r="AL1023" s="384"/>
      <c r="AM1023" s="384"/>
      <c r="AN1023" s="384"/>
      <c r="AO1023" s="384"/>
      <c r="AP1023" s="384"/>
      <c r="AQ1023" s="384"/>
      <c r="AR1023" s="384"/>
      <c r="AS1023" s="384"/>
      <c r="AT1023" s="384"/>
      <c r="AU1023" s="384"/>
      <c r="AV1023" s="384"/>
      <c r="AW1023" s="384"/>
      <c r="AX1023" s="384"/>
      <c r="AY1023" s="384"/>
      <c r="AZ1023" s="384"/>
      <c r="BA1023" s="384"/>
      <c r="BB1023" s="384"/>
      <c r="BC1023" s="384"/>
      <c r="BD1023" s="384"/>
      <c r="BE1023" s="384"/>
      <c r="BF1023" s="384"/>
      <c r="BG1023" s="384"/>
      <c r="BH1023" s="384"/>
      <c r="BI1023" s="384"/>
      <c r="BJ1023" s="384"/>
      <c r="BK1023" s="384"/>
      <c r="BL1023" s="384"/>
      <c r="BM1023" s="384"/>
      <c r="BN1023" s="384"/>
      <c r="BO1023" s="384"/>
      <c r="BP1023" s="384"/>
      <c r="BQ1023" s="384"/>
      <c r="BR1023" s="384"/>
      <c r="BS1023" s="384"/>
      <c r="BT1023" s="384"/>
      <c r="BU1023" s="384"/>
      <c r="BV1023" s="384"/>
      <c r="BW1023" s="384"/>
      <c r="BX1023" s="384"/>
      <c r="BY1023" s="384"/>
      <c r="BZ1023" s="384"/>
      <c r="CA1023" s="384"/>
      <c r="CB1023" s="384"/>
      <c r="CC1023" s="384"/>
      <c r="CD1023" s="384"/>
      <c r="CE1023" s="384"/>
      <c r="CF1023" s="384"/>
      <c r="CG1023" s="384"/>
      <c r="CH1023" s="384"/>
      <c r="CI1023" s="384"/>
      <c r="CJ1023" s="384"/>
      <c r="CK1023" s="384"/>
      <c r="CL1023" s="384"/>
      <c r="CM1023" s="384"/>
      <c r="CN1023" s="384"/>
      <c r="CO1023" s="384"/>
      <c r="CP1023" s="384"/>
      <c r="CQ1023" s="384"/>
      <c r="CR1023" s="384"/>
      <c r="CS1023" s="384"/>
      <c r="CT1023" s="384"/>
      <c r="CU1023" s="384"/>
      <c r="CV1023" s="384"/>
      <c r="CW1023" s="384"/>
      <c r="CX1023" s="384"/>
      <c r="CY1023" s="384"/>
      <c r="CZ1023" s="384"/>
      <c r="DA1023" s="384"/>
      <c r="DB1023" s="384"/>
      <c r="DC1023" s="384"/>
      <c r="DD1023" s="384"/>
      <c r="DE1023" s="384"/>
      <c r="DF1023" s="384"/>
      <c r="DG1023" s="384"/>
      <c r="DH1023" s="384"/>
      <c r="DI1023" s="384"/>
      <c r="DJ1023" s="384"/>
      <c r="DK1023" s="384"/>
      <c r="DL1023" s="384"/>
      <c r="DM1023" s="384"/>
      <c r="DN1023" s="384"/>
      <c r="DO1023" s="384"/>
      <c r="DP1023" s="384"/>
      <c r="DQ1023" s="384"/>
      <c r="DR1023" s="384"/>
      <c r="DS1023" s="384"/>
      <c r="DT1023" s="384"/>
      <c r="DU1023" s="384"/>
      <c r="DV1023" s="384"/>
      <c r="DW1023" s="384"/>
      <c r="DX1023" s="384"/>
      <c r="DY1023" s="384"/>
      <c r="DZ1023" s="384"/>
    </row>
    <row r="1024" spans="1:130" hidden="1" outlineLevel="3">
      <c r="A1024" s="438"/>
      <c r="B1024" s="490"/>
      <c r="C1024" s="398"/>
      <c r="D1024" s="399"/>
      <c r="E1024" s="385"/>
      <c r="F1024" s="385"/>
      <c r="G1024" s="385"/>
      <c r="H1024" s="401"/>
      <c r="I1024" s="385" t="s">
        <v>1636</v>
      </c>
      <c r="J1024" s="489" t="s">
        <v>365</v>
      </c>
      <c r="K1024" s="412"/>
      <c r="L1024" s="412"/>
      <c r="M1024" s="490" t="s">
        <v>37</v>
      </c>
      <c r="N1024" s="490">
        <v>1</v>
      </c>
    </row>
    <row r="1025" spans="1:130" s="411" customFormat="1" ht="40.5" hidden="1" outlineLevel="2" collapsed="1">
      <c r="A1025" s="489" t="s">
        <v>1444</v>
      </c>
      <c r="B1025" s="490"/>
      <c r="C1025" s="398" t="s">
        <v>946</v>
      </c>
      <c r="D1025" s="399" t="s">
        <v>391</v>
      </c>
      <c r="E1025" s="490" t="s">
        <v>947</v>
      </c>
      <c r="F1025" s="385" t="s">
        <v>303</v>
      </c>
      <c r="G1025" s="385"/>
      <c r="H1025" s="401" t="s">
        <v>1675</v>
      </c>
      <c r="I1025" s="385" t="str">
        <f>CONCATENATE(I1026," ",N1026,M1026,," ",I1027," ",N1027,M1027)</f>
        <v>Замена рессоры передней 2шт. Замена рессоры задней 2шт.</v>
      </c>
      <c r="J1025" s="489" t="s">
        <v>365</v>
      </c>
      <c r="K1025" s="450">
        <v>44348</v>
      </c>
      <c r="L1025" s="450">
        <v>44500</v>
      </c>
      <c r="M1025" s="490"/>
      <c r="N1025" s="490"/>
      <c r="O1025" s="384"/>
      <c r="P1025" s="384"/>
      <c r="Q1025" s="384"/>
      <c r="R1025" s="384"/>
      <c r="S1025" s="384"/>
      <c r="T1025" s="384"/>
      <c r="U1025" s="384"/>
      <c r="V1025" s="384"/>
      <c r="W1025" s="384"/>
      <c r="X1025" s="384"/>
      <c r="Y1025" s="384"/>
      <c r="Z1025" s="384"/>
      <c r="AA1025" s="384"/>
      <c r="AB1025" s="384"/>
      <c r="AC1025" s="384"/>
      <c r="AD1025" s="384"/>
      <c r="AE1025" s="384"/>
      <c r="AF1025" s="384"/>
      <c r="AG1025" s="384"/>
      <c r="AH1025" s="384"/>
      <c r="AI1025" s="384"/>
      <c r="AJ1025" s="384"/>
      <c r="AK1025" s="384"/>
      <c r="AL1025" s="384"/>
      <c r="AM1025" s="384"/>
      <c r="AN1025" s="384"/>
      <c r="AO1025" s="384"/>
      <c r="AP1025" s="384"/>
      <c r="AQ1025" s="384"/>
      <c r="AR1025" s="384"/>
      <c r="AS1025" s="384"/>
      <c r="AT1025" s="384"/>
      <c r="AU1025" s="384"/>
      <c r="AV1025" s="384"/>
      <c r="AW1025" s="384"/>
      <c r="AX1025" s="384"/>
      <c r="AY1025" s="384"/>
      <c r="AZ1025" s="384"/>
      <c r="BA1025" s="384"/>
      <c r="BB1025" s="384"/>
      <c r="BC1025" s="384"/>
      <c r="BD1025" s="384"/>
      <c r="BE1025" s="384"/>
      <c r="BF1025" s="384"/>
      <c r="BG1025" s="384"/>
      <c r="BH1025" s="384"/>
      <c r="BI1025" s="384"/>
      <c r="BJ1025" s="384"/>
      <c r="BK1025" s="384"/>
      <c r="BL1025" s="384"/>
      <c r="BM1025" s="384"/>
      <c r="BN1025" s="384"/>
      <c r="BO1025" s="384"/>
      <c r="BP1025" s="384"/>
      <c r="BQ1025" s="384"/>
      <c r="BR1025" s="384"/>
      <c r="BS1025" s="384"/>
      <c r="BT1025" s="384"/>
      <c r="BU1025" s="384"/>
      <c r="BV1025" s="384"/>
      <c r="BW1025" s="384"/>
      <c r="BX1025" s="384"/>
      <c r="BY1025" s="384"/>
      <c r="BZ1025" s="384"/>
      <c r="CA1025" s="384"/>
      <c r="CB1025" s="384"/>
      <c r="CC1025" s="384"/>
      <c r="CD1025" s="384"/>
      <c r="CE1025" s="384"/>
      <c r="CF1025" s="384"/>
      <c r="CG1025" s="384"/>
      <c r="CH1025" s="384"/>
      <c r="CI1025" s="384"/>
      <c r="CJ1025" s="384"/>
      <c r="CK1025" s="384"/>
      <c r="CL1025" s="384"/>
      <c r="CM1025" s="384"/>
      <c r="CN1025" s="384"/>
      <c r="CO1025" s="384"/>
      <c r="CP1025" s="384"/>
      <c r="CQ1025" s="384"/>
      <c r="CR1025" s="384"/>
      <c r="CS1025" s="384"/>
      <c r="CT1025" s="384"/>
      <c r="CU1025" s="384"/>
      <c r="CV1025" s="384"/>
      <c r="CW1025" s="384"/>
      <c r="CX1025" s="384"/>
      <c r="CY1025" s="384"/>
      <c r="CZ1025" s="384"/>
      <c r="DA1025" s="384"/>
      <c r="DB1025" s="384"/>
      <c r="DC1025" s="384"/>
      <c r="DD1025" s="384"/>
      <c r="DE1025" s="384"/>
      <c r="DF1025" s="384"/>
      <c r="DG1025" s="384"/>
      <c r="DH1025" s="384"/>
      <c r="DI1025" s="384"/>
      <c r="DJ1025" s="384"/>
      <c r="DK1025" s="384"/>
      <c r="DL1025" s="384"/>
      <c r="DM1025" s="384"/>
      <c r="DN1025" s="384"/>
      <c r="DO1025" s="384"/>
      <c r="DP1025" s="384"/>
      <c r="DQ1025" s="384"/>
      <c r="DR1025" s="384"/>
      <c r="DS1025" s="384"/>
      <c r="DT1025" s="384"/>
      <c r="DU1025" s="384"/>
      <c r="DV1025" s="384"/>
      <c r="DW1025" s="384"/>
      <c r="DX1025" s="384"/>
      <c r="DY1025" s="384"/>
      <c r="DZ1025" s="384"/>
    </row>
    <row r="1026" spans="1:130" hidden="1" outlineLevel="3">
      <c r="A1026" s="438"/>
      <c r="B1026" s="490"/>
      <c r="C1026" s="398"/>
      <c r="D1026" s="399"/>
      <c r="E1026" s="385"/>
      <c r="F1026" s="385"/>
      <c r="G1026" s="385"/>
      <c r="H1026" s="401"/>
      <c r="I1026" s="385" t="s">
        <v>1649</v>
      </c>
      <c r="J1026" s="489" t="s">
        <v>365</v>
      </c>
      <c r="K1026" s="412"/>
      <c r="L1026" s="412"/>
      <c r="M1026" s="490" t="s">
        <v>37</v>
      </c>
      <c r="N1026" s="490">
        <v>2</v>
      </c>
    </row>
    <row r="1027" spans="1:130" hidden="1" outlineLevel="3">
      <c r="A1027" s="438"/>
      <c r="B1027" s="490"/>
      <c r="C1027" s="398"/>
      <c r="D1027" s="399"/>
      <c r="E1027" s="385"/>
      <c r="F1027" s="385"/>
      <c r="G1027" s="385"/>
      <c r="H1027" s="401"/>
      <c r="I1027" s="385" t="s">
        <v>1650</v>
      </c>
      <c r="J1027" s="489" t="s">
        <v>365</v>
      </c>
      <c r="K1027" s="412"/>
      <c r="L1027" s="412"/>
      <c r="M1027" s="490" t="s">
        <v>37</v>
      </c>
      <c r="N1027" s="490">
        <v>2</v>
      </c>
    </row>
    <row r="1028" spans="1:130" s="411" customFormat="1" ht="81" hidden="1" outlineLevel="2" collapsed="1">
      <c r="A1028" s="489" t="s">
        <v>1657</v>
      </c>
      <c r="B1028" s="490"/>
      <c r="C1028" s="398" t="s">
        <v>946</v>
      </c>
      <c r="D1028" s="399" t="s">
        <v>391</v>
      </c>
      <c r="E1028" s="490" t="s">
        <v>1471</v>
      </c>
      <c r="F1028" s="385" t="s">
        <v>303</v>
      </c>
      <c r="G1028" s="385"/>
      <c r="H1028" s="401" t="s">
        <v>1678</v>
      </c>
      <c r="I1028" s="385" t="str">
        <f>CONCATENATE(I1029," ",N1029,M1029," ",I1030," ",N1030,M1030," ",I1031," ",N1031,M1031," ",I1032,N1032," ",M1032," ",I1033," ",N1033,M1033," ",)</f>
        <v xml:space="preserve">Замена фильтров 8шт. Замена втулок кронштейна углового отвала 4шт. Замена элемента фильтрующий трансмиссии 1шт. Замена гусеницы2 шт. Замена лобового стекла 1шт. </v>
      </c>
      <c r="J1028" s="489" t="s">
        <v>365</v>
      </c>
      <c r="K1028" s="450">
        <v>44348</v>
      </c>
      <c r="L1028" s="450">
        <v>44500</v>
      </c>
      <c r="M1028" s="490"/>
      <c r="N1028" s="490"/>
      <c r="O1028" s="384"/>
      <c r="P1028" s="384"/>
      <c r="Q1028" s="384"/>
      <c r="R1028" s="384"/>
      <c r="S1028" s="384"/>
      <c r="T1028" s="384"/>
      <c r="U1028" s="384"/>
      <c r="V1028" s="384"/>
      <c r="W1028" s="384"/>
      <c r="X1028" s="384"/>
      <c r="Y1028" s="384"/>
      <c r="Z1028" s="384"/>
      <c r="AA1028" s="384"/>
      <c r="AB1028" s="384"/>
      <c r="AC1028" s="384"/>
      <c r="AD1028" s="384"/>
      <c r="AE1028" s="384"/>
      <c r="AF1028" s="384"/>
      <c r="AG1028" s="384"/>
      <c r="AH1028" s="384"/>
      <c r="AI1028" s="384"/>
      <c r="AJ1028" s="384"/>
      <c r="AK1028" s="384"/>
      <c r="AL1028" s="384"/>
      <c r="AM1028" s="384"/>
      <c r="AN1028" s="384"/>
      <c r="AO1028" s="384"/>
      <c r="AP1028" s="384"/>
      <c r="AQ1028" s="384"/>
      <c r="AR1028" s="384"/>
      <c r="AS1028" s="384"/>
      <c r="AT1028" s="384"/>
      <c r="AU1028" s="384"/>
      <c r="AV1028" s="384"/>
      <c r="AW1028" s="384"/>
      <c r="AX1028" s="384"/>
      <c r="AY1028" s="384"/>
      <c r="AZ1028" s="384"/>
      <c r="BA1028" s="384"/>
      <c r="BB1028" s="384"/>
      <c r="BC1028" s="384"/>
      <c r="BD1028" s="384"/>
      <c r="BE1028" s="384"/>
      <c r="BF1028" s="384"/>
      <c r="BG1028" s="384"/>
      <c r="BH1028" s="384"/>
      <c r="BI1028" s="384"/>
      <c r="BJ1028" s="384"/>
      <c r="BK1028" s="384"/>
      <c r="BL1028" s="384"/>
      <c r="BM1028" s="384"/>
      <c r="BN1028" s="384"/>
      <c r="BO1028" s="384"/>
      <c r="BP1028" s="384"/>
      <c r="BQ1028" s="384"/>
      <c r="BR1028" s="384"/>
      <c r="BS1028" s="384"/>
      <c r="BT1028" s="384"/>
      <c r="BU1028" s="384"/>
      <c r="BV1028" s="384"/>
      <c r="BW1028" s="384"/>
      <c r="BX1028" s="384"/>
      <c r="BY1028" s="384"/>
      <c r="BZ1028" s="384"/>
      <c r="CA1028" s="384"/>
      <c r="CB1028" s="384"/>
      <c r="CC1028" s="384"/>
      <c r="CD1028" s="384"/>
      <c r="CE1028" s="384"/>
      <c r="CF1028" s="384"/>
      <c r="CG1028" s="384"/>
      <c r="CH1028" s="384"/>
      <c r="CI1028" s="384"/>
      <c r="CJ1028" s="384"/>
      <c r="CK1028" s="384"/>
      <c r="CL1028" s="384"/>
      <c r="CM1028" s="384"/>
      <c r="CN1028" s="384"/>
      <c r="CO1028" s="384"/>
      <c r="CP1028" s="384"/>
      <c r="CQ1028" s="384"/>
      <c r="CR1028" s="384"/>
      <c r="CS1028" s="384"/>
      <c r="CT1028" s="384"/>
      <c r="CU1028" s="384"/>
      <c r="CV1028" s="384"/>
      <c r="CW1028" s="384"/>
      <c r="CX1028" s="384"/>
      <c r="CY1028" s="384"/>
      <c r="CZ1028" s="384"/>
      <c r="DA1028" s="384"/>
      <c r="DB1028" s="384"/>
      <c r="DC1028" s="384"/>
      <c r="DD1028" s="384"/>
      <c r="DE1028" s="384"/>
      <c r="DF1028" s="384"/>
      <c r="DG1028" s="384"/>
      <c r="DH1028" s="384"/>
      <c r="DI1028" s="384"/>
      <c r="DJ1028" s="384"/>
      <c r="DK1028" s="384"/>
      <c r="DL1028" s="384"/>
      <c r="DM1028" s="384"/>
      <c r="DN1028" s="384"/>
      <c r="DO1028" s="384"/>
      <c r="DP1028" s="384"/>
      <c r="DQ1028" s="384"/>
      <c r="DR1028" s="384"/>
      <c r="DS1028" s="384"/>
      <c r="DT1028" s="384"/>
      <c r="DU1028" s="384"/>
      <c r="DV1028" s="384"/>
      <c r="DW1028" s="384"/>
      <c r="DX1028" s="384"/>
      <c r="DY1028" s="384"/>
      <c r="DZ1028" s="384"/>
    </row>
    <row r="1029" spans="1:130" hidden="1" outlineLevel="3">
      <c r="A1029" s="438"/>
      <c r="B1029" s="490"/>
      <c r="C1029" s="398"/>
      <c r="D1029" s="399"/>
      <c r="E1029" s="385"/>
      <c r="F1029" s="385"/>
      <c r="G1029" s="385"/>
      <c r="H1029" s="401"/>
      <c r="I1029" s="385" t="s">
        <v>1651</v>
      </c>
      <c r="J1029" s="489" t="s">
        <v>365</v>
      </c>
      <c r="K1029" s="412"/>
      <c r="L1029" s="412"/>
      <c r="M1029" s="490" t="s">
        <v>37</v>
      </c>
      <c r="N1029" s="490">
        <v>8</v>
      </c>
    </row>
    <row r="1030" spans="1:130" hidden="1" outlineLevel="3">
      <c r="A1030" s="438"/>
      <c r="B1030" s="490"/>
      <c r="C1030" s="398"/>
      <c r="D1030" s="399"/>
      <c r="E1030" s="385"/>
      <c r="F1030" s="385"/>
      <c r="G1030" s="385"/>
      <c r="H1030" s="401"/>
      <c r="I1030" s="385" t="s">
        <v>1473</v>
      </c>
      <c r="J1030" s="489" t="s">
        <v>365</v>
      </c>
      <c r="K1030" s="412"/>
      <c r="L1030" s="412"/>
      <c r="M1030" s="490" t="s">
        <v>37</v>
      </c>
      <c r="N1030" s="490">
        <v>4</v>
      </c>
    </row>
    <row r="1031" spans="1:130" hidden="1" outlineLevel="3">
      <c r="A1031" s="438"/>
      <c r="B1031" s="490"/>
      <c r="C1031" s="398"/>
      <c r="D1031" s="399"/>
      <c r="E1031" s="385"/>
      <c r="F1031" s="385"/>
      <c r="G1031" s="385"/>
      <c r="H1031" s="401"/>
      <c r="I1031" s="385" t="s">
        <v>1652</v>
      </c>
      <c r="J1031" s="489" t="s">
        <v>365</v>
      </c>
      <c r="K1031" s="412"/>
      <c r="L1031" s="412"/>
      <c r="M1031" s="490" t="s">
        <v>37</v>
      </c>
      <c r="N1031" s="490">
        <v>1</v>
      </c>
    </row>
    <row r="1032" spans="1:130" hidden="1" outlineLevel="3">
      <c r="A1032" s="438"/>
      <c r="B1032" s="490"/>
      <c r="C1032" s="398"/>
      <c r="D1032" s="399"/>
      <c r="E1032" s="385"/>
      <c r="F1032" s="385"/>
      <c r="G1032" s="385"/>
      <c r="H1032" s="401"/>
      <c r="I1032" s="385" t="s">
        <v>1474</v>
      </c>
      <c r="J1032" s="489" t="s">
        <v>365</v>
      </c>
      <c r="K1032" s="412"/>
      <c r="L1032" s="412"/>
      <c r="M1032" s="490" t="s">
        <v>37</v>
      </c>
      <c r="N1032" s="490">
        <v>2</v>
      </c>
    </row>
    <row r="1033" spans="1:130" hidden="1" outlineLevel="3">
      <c r="A1033" s="438"/>
      <c r="B1033" s="490"/>
      <c r="C1033" s="398"/>
      <c r="D1033" s="399"/>
      <c r="E1033" s="385"/>
      <c r="F1033" s="385"/>
      <c r="G1033" s="385"/>
      <c r="H1033" s="401"/>
      <c r="I1033" s="385" t="s">
        <v>1653</v>
      </c>
      <c r="J1033" s="489" t="s">
        <v>365</v>
      </c>
      <c r="K1033" s="412"/>
      <c r="L1033" s="412"/>
      <c r="M1033" s="490" t="s">
        <v>37</v>
      </c>
      <c r="N1033" s="490">
        <v>1</v>
      </c>
    </row>
    <row r="1034" spans="1:130" s="411" customFormat="1" ht="81" hidden="1" outlineLevel="2" collapsed="1">
      <c r="A1034" s="489" t="s">
        <v>1445</v>
      </c>
      <c r="B1034" s="490"/>
      <c r="C1034" s="398" t="s">
        <v>946</v>
      </c>
      <c r="D1034" s="399" t="s">
        <v>391</v>
      </c>
      <c r="E1034" s="490" t="s">
        <v>1475</v>
      </c>
      <c r="F1034" s="385" t="s">
        <v>303</v>
      </c>
      <c r="G1034" s="385"/>
      <c r="H1034" s="401" t="s">
        <v>1676</v>
      </c>
      <c r="I1034" s="385" t="str">
        <f>CONCATENATE(I1035," ",N1035,M1035," ",I1036," ",N1036,M1036," ",I1037," ",N1037,M1037," ",I1038," ",N1038,M1038," ",I1039," ",N1039,M1039," ",I1040," ",N1040,M1040," ",I1041," ",N1041,M1041," ",I1042," ",N1042,M1042,)</f>
        <v>замена катков 14шт. замена балансира 4шт. замена стартера 1шт. замена лебедки 1шт. Замена бортового фрикциона 2шт. замена торсиона 4шт. замена тормозной ленты 4шт. Замена отопителя салона в сборе 1шт.</v>
      </c>
      <c r="J1034" s="489" t="s">
        <v>365</v>
      </c>
      <c r="K1034" s="450">
        <v>44348</v>
      </c>
      <c r="L1034" s="450">
        <v>44500</v>
      </c>
      <c r="M1034" s="490"/>
      <c r="N1034" s="490"/>
      <c r="O1034" s="384"/>
      <c r="P1034" s="384"/>
      <c r="Q1034" s="384"/>
      <c r="R1034" s="384"/>
      <c r="S1034" s="384"/>
      <c r="T1034" s="384"/>
      <c r="U1034" s="384"/>
      <c r="V1034" s="384"/>
      <c r="W1034" s="384"/>
      <c r="X1034" s="384"/>
      <c r="Y1034" s="384"/>
      <c r="Z1034" s="384"/>
      <c r="AA1034" s="384"/>
      <c r="AB1034" s="384"/>
      <c r="AC1034" s="384"/>
      <c r="AD1034" s="384"/>
      <c r="AE1034" s="384"/>
      <c r="AF1034" s="384"/>
      <c r="AG1034" s="384"/>
      <c r="AH1034" s="384"/>
      <c r="AI1034" s="384"/>
      <c r="AJ1034" s="384"/>
      <c r="AK1034" s="384"/>
      <c r="AL1034" s="384"/>
      <c r="AM1034" s="384"/>
      <c r="AN1034" s="384"/>
      <c r="AO1034" s="384"/>
      <c r="AP1034" s="384"/>
      <c r="AQ1034" s="384"/>
      <c r="AR1034" s="384"/>
      <c r="AS1034" s="384"/>
      <c r="AT1034" s="384"/>
      <c r="AU1034" s="384"/>
      <c r="AV1034" s="384"/>
      <c r="AW1034" s="384"/>
      <c r="AX1034" s="384"/>
      <c r="AY1034" s="384"/>
      <c r="AZ1034" s="384"/>
      <c r="BA1034" s="384"/>
      <c r="BB1034" s="384"/>
      <c r="BC1034" s="384"/>
      <c r="BD1034" s="384"/>
      <c r="BE1034" s="384"/>
      <c r="BF1034" s="384"/>
      <c r="BG1034" s="384"/>
      <c r="BH1034" s="384"/>
      <c r="BI1034" s="384"/>
      <c r="BJ1034" s="384"/>
      <c r="BK1034" s="384"/>
      <c r="BL1034" s="384"/>
      <c r="BM1034" s="384"/>
      <c r="BN1034" s="384"/>
      <c r="BO1034" s="384"/>
      <c r="BP1034" s="384"/>
      <c r="BQ1034" s="384"/>
      <c r="BR1034" s="384"/>
      <c r="BS1034" s="384"/>
      <c r="BT1034" s="384"/>
      <c r="BU1034" s="384"/>
      <c r="BV1034" s="384"/>
      <c r="BW1034" s="384"/>
      <c r="BX1034" s="384"/>
      <c r="BY1034" s="384"/>
      <c r="BZ1034" s="384"/>
      <c r="CA1034" s="384"/>
      <c r="CB1034" s="384"/>
      <c r="CC1034" s="384"/>
      <c r="CD1034" s="384"/>
      <c r="CE1034" s="384"/>
      <c r="CF1034" s="384"/>
      <c r="CG1034" s="384"/>
      <c r="CH1034" s="384"/>
      <c r="CI1034" s="384"/>
      <c r="CJ1034" s="384"/>
      <c r="CK1034" s="384"/>
      <c r="CL1034" s="384"/>
      <c r="CM1034" s="384"/>
      <c r="CN1034" s="384"/>
      <c r="CO1034" s="384"/>
      <c r="CP1034" s="384"/>
      <c r="CQ1034" s="384"/>
      <c r="CR1034" s="384"/>
      <c r="CS1034" s="384"/>
      <c r="CT1034" s="384"/>
      <c r="CU1034" s="384"/>
      <c r="CV1034" s="384"/>
      <c r="CW1034" s="384"/>
      <c r="CX1034" s="384"/>
      <c r="CY1034" s="384"/>
      <c r="CZ1034" s="384"/>
      <c r="DA1034" s="384"/>
      <c r="DB1034" s="384"/>
      <c r="DC1034" s="384"/>
      <c r="DD1034" s="384"/>
      <c r="DE1034" s="384"/>
      <c r="DF1034" s="384"/>
      <c r="DG1034" s="384"/>
      <c r="DH1034" s="384"/>
      <c r="DI1034" s="384"/>
      <c r="DJ1034" s="384"/>
      <c r="DK1034" s="384"/>
      <c r="DL1034" s="384"/>
      <c r="DM1034" s="384"/>
      <c r="DN1034" s="384"/>
      <c r="DO1034" s="384"/>
      <c r="DP1034" s="384"/>
      <c r="DQ1034" s="384"/>
      <c r="DR1034" s="384"/>
      <c r="DS1034" s="384"/>
      <c r="DT1034" s="384"/>
      <c r="DU1034" s="384"/>
      <c r="DV1034" s="384"/>
      <c r="DW1034" s="384"/>
      <c r="DX1034" s="384"/>
      <c r="DY1034" s="384"/>
      <c r="DZ1034" s="384"/>
    </row>
    <row r="1035" spans="1:130" hidden="1" outlineLevel="3">
      <c r="A1035" s="438"/>
      <c r="B1035" s="490"/>
      <c r="C1035" s="398"/>
      <c r="D1035" s="399"/>
      <c r="E1035" s="385"/>
      <c r="F1035" s="385"/>
      <c r="G1035" s="385"/>
      <c r="H1035" s="401"/>
      <c r="I1035" s="385" t="s">
        <v>1476</v>
      </c>
      <c r="J1035" s="489" t="s">
        <v>365</v>
      </c>
      <c r="K1035" s="412"/>
      <c r="L1035" s="412"/>
      <c r="M1035" s="490" t="s">
        <v>37</v>
      </c>
      <c r="N1035" s="490">
        <v>14</v>
      </c>
    </row>
    <row r="1036" spans="1:130" hidden="1" outlineLevel="3">
      <c r="A1036" s="438"/>
      <c r="B1036" s="490"/>
      <c r="C1036" s="398"/>
      <c r="D1036" s="399"/>
      <c r="E1036" s="385"/>
      <c r="F1036" s="385"/>
      <c r="G1036" s="385"/>
      <c r="H1036" s="401"/>
      <c r="I1036" s="385" t="s">
        <v>1477</v>
      </c>
      <c r="J1036" s="489" t="s">
        <v>365</v>
      </c>
      <c r="K1036" s="412"/>
      <c r="L1036" s="412"/>
      <c r="M1036" s="490" t="s">
        <v>37</v>
      </c>
      <c r="N1036" s="490">
        <v>4</v>
      </c>
    </row>
    <row r="1037" spans="1:130" hidden="1" outlineLevel="3">
      <c r="A1037" s="438"/>
      <c r="B1037" s="490"/>
      <c r="C1037" s="398"/>
      <c r="D1037" s="399"/>
      <c r="E1037" s="385"/>
      <c r="F1037" s="385"/>
      <c r="G1037" s="385"/>
      <c r="H1037" s="401"/>
      <c r="I1037" s="385" t="s">
        <v>1478</v>
      </c>
      <c r="J1037" s="489" t="s">
        <v>365</v>
      </c>
      <c r="K1037" s="412"/>
      <c r="L1037" s="412"/>
      <c r="M1037" s="490" t="s">
        <v>37</v>
      </c>
      <c r="N1037" s="490">
        <v>1</v>
      </c>
    </row>
    <row r="1038" spans="1:130" hidden="1" outlineLevel="3">
      <c r="A1038" s="438"/>
      <c r="B1038" s="490"/>
      <c r="C1038" s="398"/>
      <c r="D1038" s="399"/>
      <c r="E1038" s="385"/>
      <c r="F1038" s="385"/>
      <c r="G1038" s="385"/>
      <c r="H1038" s="401"/>
      <c r="I1038" s="385" t="s">
        <v>1479</v>
      </c>
      <c r="J1038" s="489" t="s">
        <v>365</v>
      </c>
      <c r="K1038" s="412"/>
      <c r="L1038" s="412"/>
      <c r="M1038" s="490" t="s">
        <v>37</v>
      </c>
      <c r="N1038" s="490">
        <v>1</v>
      </c>
    </row>
    <row r="1039" spans="1:130" hidden="1" outlineLevel="3">
      <c r="A1039" s="438"/>
      <c r="B1039" s="490"/>
      <c r="C1039" s="398"/>
      <c r="D1039" s="399"/>
      <c r="E1039" s="385"/>
      <c r="F1039" s="385"/>
      <c r="G1039" s="385"/>
      <c r="H1039" s="401"/>
      <c r="I1039" s="385" t="s">
        <v>1480</v>
      </c>
      <c r="J1039" s="489" t="s">
        <v>365</v>
      </c>
      <c r="K1039" s="412"/>
      <c r="L1039" s="412"/>
      <c r="M1039" s="490" t="s">
        <v>37</v>
      </c>
      <c r="N1039" s="490">
        <v>2</v>
      </c>
    </row>
    <row r="1040" spans="1:130" hidden="1" outlineLevel="3">
      <c r="A1040" s="438"/>
      <c r="B1040" s="490"/>
      <c r="C1040" s="398"/>
      <c r="D1040" s="399"/>
      <c r="E1040" s="385"/>
      <c r="F1040" s="385"/>
      <c r="G1040" s="385"/>
      <c r="H1040" s="401"/>
      <c r="I1040" s="385" t="s">
        <v>1481</v>
      </c>
      <c r="J1040" s="489" t="s">
        <v>365</v>
      </c>
      <c r="K1040" s="412"/>
      <c r="L1040" s="412"/>
      <c r="M1040" s="490" t="s">
        <v>37</v>
      </c>
      <c r="N1040" s="490">
        <v>4</v>
      </c>
    </row>
    <row r="1041" spans="1:130" hidden="1" outlineLevel="3">
      <c r="A1041" s="438"/>
      <c r="B1041" s="490"/>
      <c r="C1041" s="398"/>
      <c r="D1041" s="399"/>
      <c r="E1041" s="385"/>
      <c r="F1041" s="385"/>
      <c r="G1041" s="385"/>
      <c r="H1041" s="401"/>
      <c r="I1041" s="385" t="s">
        <v>1482</v>
      </c>
      <c r="J1041" s="489" t="s">
        <v>365</v>
      </c>
      <c r="K1041" s="412"/>
      <c r="L1041" s="412"/>
      <c r="M1041" s="490" t="s">
        <v>37</v>
      </c>
      <c r="N1041" s="490">
        <v>4</v>
      </c>
    </row>
    <row r="1042" spans="1:130" hidden="1" outlineLevel="3">
      <c r="A1042" s="438"/>
      <c r="B1042" s="490"/>
      <c r="C1042" s="398"/>
      <c r="D1042" s="399"/>
      <c r="E1042" s="385"/>
      <c r="F1042" s="385"/>
      <c r="G1042" s="385"/>
      <c r="H1042" s="401"/>
      <c r="I1042" s="385" t="s">
        <v>1483</v>
      </c>
      <c r="J1042" s="489" t="s">
        <v>365</v>
      </c>
      <c r="K1042" s="412"/>
      <c r="L1042" s="412"/>
      <c r="M1042" s="490" t="s">
        <v>37</v>
      </c>
      <c r="N1042" s="490">
        <v>1</v>
      </c>
    </row>
    <row r="1043" spans="1:130" s="411" customFormat="1" ht="81" hidden="1" outlineLevel="2" collapsed="1">
      <c r="A1043" s="489" t="s">
        <v>3214</v>
      </c>
      <c r="B1043" s="490"/>
      <c r="C1043" s="398" t="s">
        <v>946</v>
      </c>
      <c r="D1043" s="399" t="s">
        <v>391</v>
      </c>
      <c r="E1043" s="490" t="s">
        <v>1484</v>
      </c>
      <c r="F1043" s="385" t="s">
        <v>303</v>
      </c>
      <c r="G1043" s="385"/>
      <c r="H1043" s="401" t="s">
        <v>1677</v>
      </c>
      <c r="I1043" s="385" t="str">
        <f>CONCATENATE(I1044," ",N1044,M1044," ",I1045," ",N1045,M1045," ",I1046," ",N1046,M1046," ",I1047,N1047," ",M1047," ",I1048," ",N1048,M1048," ",I1049," ",N1049,M1049," ",I1050," ",N1050,M1050," ",I1051," ",N1051,M1051,)</f>
        <v>замена зубьев 90шт. замена ремня генератора 4шт. замена фильтров 52шт. замена датчика1 шт. замена турбокомпрессора 1шт. замена гидроаккумулятора 3шт. замена опорного катка 2шт. замена патрубка 1шт.</v>
      </c>
      <c r="J1043" s="489" t="s">
        <v>365</v>
      </c>
      <c r="K1043" s="450">
        <v>44348</v>
      </c>
      <c r="L1043" s="450">
        <v>44500</v>
      </c>
      <c r="M1043" s="490"/>
      <c r="N1043" s="490"/>
      <c r="O1043" s="384"/>
      <c r="P1043" s="384"/>
      <c r="Q1043" s="384"/>
      <c r="R1043" s="384"/>
      <c r="S1043" s="384"/>
      <c r="T1043" s="384"/>
      <c r="U1043" s="384"/>
      <c r="V1043" s="384"/>
      <c r="W1043" s="384"/>
      <c r="X1043" s="384"/>
      <c r="Y1043" s="384"/>
      <c r="Z1043" s="384"/>
      <c r="AA1043" s="384"/>
      <c r="AB1043" s="384"/>
      <c r="AC1043" s="384"/>
      <c r="AD1043" s="384"/>
      <c r="AE1043" s="384"/>
      <c r="AF1043" s="384"/>
      <c r="AG1043" s="384"/>
      <c r="AH1043" s="384"/>
      <c r="AI1043" s="384"/>
      <c r="AJ1043" s="384"/>
      <c r="AK1043" s="384"/>
      <c r="AL1043" s="384"/>
      <c r="AM1043" s="384"/>
      <c r="AN1043" s="384"/>
      <c r="AO1043" s="384"/>
      <c r="AP1043" s="384"/>
      <c r="AQ1043" s="384"/>
      <c r="AR1043" s="384"/>
      <c r="AS1043" s="384"/>
      <c r="AT1043" s="384"/>
      <c r="AU1043" s="384"/>
      <c r="AV1043" s="384"/>
      <c r="AW1043" s="384"/>
      <c r="AX1043" s="384"/>
      <c r="AY1043" s="384"/>
      <c r="AZ1043" s="384"/>
      <c r="BA1043" s="384"/>
      <c r="BB1043" s="384"/>
      <c r="BC1043" s="384"/>
      <c r="BD1043" s="384"/>
      <c r="BE1043" s="384"/>
      <c r="BF1043" s="384"/>
      <c r="BG1043" s="384"/>
      <c r="BH1043" s="384"/>
      <c r="BI1043" s="384"/>
      <c r="BJ1043" s="384"/>
      <c r="BK1043" s="384"/>
      <c r="BL1043" s="384"/>
      <c r="BM1043" s="384"/>
      <c r="BN1043" s="384"/>
      <c r="BO1043" s="384"/>
      <c r="BP1043" s="384"/>
      <c r="BQ1043" s="384"/>
      <c r="BR1043" s="384"/>
      <c r="BS1043" s="384"/>
      <c r="BT1043" s="384"/>
      <c r="BU1043" s="384"/>
      <c r="BV1043" s="384"/>
      <c r="BW1043" s="384"/>
      <c r="BX1043" s="384"/>
      <c r="BY1043" s="384"/>
      <c r="BZ1043" s="384"/>
      <c r="CA1043" s="384"/>
      <c r="CB1043" s="384"/>
      <c r="CC1043" s="384"/>
      <c r="CD1043" s="384"/>
      <c r="CE1043" s="384"/>
      <c r="CF1043" s="384"/>
      <c r="CG1043" s="384"/>
      <c r="CH1043" s="384"/>
      <c r="CI1043" s="384"/>
      <c r="CJ1043" s="384"/>
      <c r="CK1043" s="384"/>
      <c r="CL1043" s="384"/>
      <c r="CM1043" s="384"/>
      <c r="CN1043" s="384"/>
      <c r="CO1043" s="384"/>
      <c r="CP1043" s="384"/>
      <c r="CQ1043" s="384"/>
      <c r="CR1043" s="384"/>
      <c r="CS1043" s="384"/>
      <c r="CT1043" s="384"/>
      <c r="CU1043" s="384"/>
      <c r="CV1043" s="384"/>
      <c r="CW1043" s="384"/>
      <c r="CX1043" s="384"/>
      <c r="CY1043" s="384"/>
      <c r="CZ1043" s="384"/>
      <c r="DA1043" s="384"/>
      <c r="DB1043" s="384"/>
      <c r="DC1043" s="384"/>
      <c r="DD1043" s="384"/>
      <c r="DE1043" s="384"/>
      <c r="DF1043" s="384"/>
      <c r="DG1043" s="384"/>
      <c r="DH1043" s="384"/>
      <c r="DI1043" s="384"/>
      <c r="DJ1043" s="384"/>
      <c r="DK1043" s="384"/>
      <c r="DL1043" s="384"/>
      <c r="DM1043" s="384"/>
      <c r="DN1043" s="384"/>
      <c r="DO1043" s="384"/>
      <c r="DP1043" s="384"/>
      <c r="DQ1043" s="384"/>
      <c r="DR1043" s="384"/>
      <c r="DS1043" s="384"/>
      <c r="DT1043" s="384"/>
      <c r="DU1043" s="384"/>
      <c r="DV1043" s="384"/>
      <c r="DW1043" s="384"/>
      <c r="DX1043" s="384"/>
      <c r="DY1043" s="384"/>
      <c r="DZ1043" s="384"/>
    </row>
    <row r="1044" spans="1:130" hidden="1" outlineLevel="3">
      <c r="A1044" s="438"/>
      <c r="B1044" s="490"/>
      <c r="C1044" s="398"/>
      <c r="D1044" s="399"/>
      <c r="E1044" s="385"/>
      <c r="F1044" s="385"/>
      <c r="G1044" s="385"/>
      <c r="H1044" s="401"/>
      <c r="I1044" s="385" t="s">
        <v>1485</v>
      </c>
      <c r="J1044" s="489" t="s">
        <v>365</v>
      </c>
      <c r="K1044" s="412"/>
      <c r="L1044" s="412"/>
      <c r="M1044" s="490" t="s">
        <v>37</v>
      </c>
      <c r="N1044" s="490">
        <v>90</v>
      </c>
    </row>
    <row r="1045" spans="1:130" hidden="1" outlineLevel="3">
      <c r="A1045" s="438"/>
      <c r="B1045" s="490"/>
      <c r="C1045" s="398"/>
      <c r="D1045" s="399"/>
      <c r="E1045" s="385"/>
      <c r="F1045" s="385"/>
      <c r="G1045" s="385"/>
      <c r="H1045" s="401"/>
      <c r="I1045" s="385" t="s">
        <v>1486</v>
      </c>
      <c r="J1045" s="489" t="s">
        <v>365</v>
      </c>
      <c r="K1045" s="412"/>
      <c r="L1045" s="412"/>
      <c r="M1045" s="490" t="s">
        <v>37</v>
      </c>
      <c r="N1045" s="490">
        <v>4</v>
      </c>
    </row>
    <row r="1046" spans="1:130" hidden="1" outlineLevel="3">
      <c r="A1046" s="438"/>
      <c r="B1046" s="490"/>
      <c r="C1046" s="398"/>
      <c r="D1046" s="399"/>
      <c r="E1046" s="385"/>
      <c r="F1046" s="385"/>
      <c r="G1046" s="385"/>
      <c r="H1046" s="401"/>
      <c r="I1046" s="385" t="s">
        <v>1472</v>
      </c>
      <c r="J1046" s="489" t="s">
        <v>365</v>
      </c>
      <c r="K1046" s="412"/>
      <c r="L1046" s="412"/>
      <c r="M1046" s="490" t="s">
        <v>37</v>
      </c>
      <c r="N1046" s="490">
        <v>52</v>
      </c>
    </row>
    <row r="1047" spans="1:130" hidden="1" outlineLevel="3">
      <c r="A1047" s="438"/>
      <c r="B1047" s="490"/>
      <c r="C1047" s="398"/>
      <c r="D1047" s="399"/>
      <c r="E1047" s="385"/>
      <c r="F1047" s="385"/>
      <c r="G1047" s="385"/>
      <c r="H1047" s="401"/>
      <c r="I1047" s="385" t="s">
        <v>1487</v>
      </c>
      <c r="J1047" s="489" t="s">
        <v>365</v>
      </c>
      <c r="K1047" s="412"/>
      <c r="L1047" s="412"/>
      <c r="M1047" s="490" t="s">
        <v>37</v>
      </c>
      <c r="N1047" s="490">
        <v>1</v>
      </c>
    </row>
    <row r="1048" spans="1:130" hidden="1" outlineLevel="3">
      <c r="A1048" s="438"/>
      <c r="B1048" s="490"/>
      <c r="C1048" s="398"/>
      <c r="D1048" s="399"/>
      <c r="E1048" s="385"/>
      <c r="F1048" s="385"/>
      <c r="G1048" s="385"/>
      <c r="H1048" s="401"/>
      <c r="I1048" s="385" t="s">
        <v>1488</v>
      </c>
      <c r="J1048" s="489" t="s">
        <v>365</v>
      </c>
      <c r="K1048" s="412"/>
      <c r="L1048" s="412"/>
      <c r="M1048" s="490" t="s">
        <v>37</v>
      </c>
      <c r="N1048" s="490">
        <v>1</v>
      </c>
    </row>
    <row r="1049" spans="1:130" hidden="1" outlineLevel="3">
      <c r="A1049" s="438"/>
      <c r="B1049" s="490"/>
      <c r="C1049" s="398"/>
      <c r="D1049" s="399"/>
      <c r="E1049" s="385"/>
      <c r="F1049" s="385"/>
      <c r="G1049" s="385"/>
      <c r="H1049" s="401"/>
      <c r="I1049" s="385" t="s">
        <v>1489</v>
      </c>
      <c r="J1049" s="489" t="s">
        <v>365</v>
      </c>
      <c r="K1049" s="412"/>
      <c r="L1049" s="412"/>
      <c r="M1049" s="490" t="s">
        <v>37</v>
      </c>
      <c r="N1049" s="490">
        <v>3</v>
      </c>
    </row>
    <row r="1050" spans="1:130" hidden="1" outlineLevel="3">
      <c r="A1050" s="438"/>
      <c r="B1050" s="490"/>
      <c r="C1050" s="398"/>
      <c r="D1050" s="399"/>
      <c r="E1050" s="385"/>
      <c r="F1050" s="385"/>
      <c r="G1050" s="385"/>
      <c r="H1050" s="401"/>
      <c r="I1050" s="385" t="s">
        <v>1490</v>
      </c>
      <c r="J1050" s="489" t="s">
        <v>365</v>
      </c>
      <c r="K1050" s="412"/>
      <c r="L1050" s="412"/>
      <c r="M1050" s="490" t="s">
        <v>37</v>
      </c>
      <c r="N1050" s="490">
        <v>2</v>
      </c>
    </row>
    <row r="1051" spans="1:130" hidden="1" outlineLevel="3">
      <c r="A1051" s="438"/>
      <c r="B1051" s="490"/>
      <c r="C1051" s="398"/>
      <c r="D1051" s="399"/>
      <c r="E1051" s="385"/>
      <c r="F1051" s="385"/>
      <c r="G1051" s="385"/>
      <c r="H1051" s="401"/>
      <c r="I1051" s="385" t="s">
        <v>1491</v>
      </c>
      <c r="J1051" s="489" t="s">
        <v>365</v>
      </c>
      <c r="K1051" s="412"/>
      <c r="L1051" s="412"/>
      <c r="M1051" s="490" t="s">
        <v>37</v>
      </c>
      <c r="N1051" s="490">
        <v>1</v>
      </c>
    </row>
    <row r="1052" spans="1:130" s="502" customFormat="1" ht="54" hidden="1" customHeight="1" outlineLevel="2">
      <c r="A1052" s="412"/>
      <c r="B1052" s="490"/>
      <c r="C1052" s="398"/>
      <c r="D1052" s="399" t="s">
        <v>391</v>
      </c>
      <c r="E1052" s="424" t="s">
        <v>953</v>
      </c>
      <c r="F1052" s="483" t="s">
        <v>303</v>
      </c>
      <c r="G1052" s="483"/>
      <c r="H1052" s="482"/>
      <c r="I1052" s="483" t="s">
        <v>1179</v>
      </c>
      <c r="J1052" s="484" t="s">
        <v>365</v>
      </c>
      <c r="K1052" s="543"/>
      <c r="L1052" s="543"/>
      <c r="M1052" s="395"/>
      <c r="N1052" s="395"/>
      <c r="O1052" s="503"/>
      <c r="P1052" s="503"/>
      <c r="Q1052" s="503"/>
      <c r="R1052" s="503"/>
      <c r="S1052" s="503"/>
      <c r="T1052" s="503"/>
      <c r="U1052" s="503"/>
      <c r="V1052" s="503"/>
      <c r="W1052" s="503"/>
      <c r="X1052" s="503"/>
      <c r="Y1052" s="503"/>
      <c r="Z1052" s="503"/>
      <c r="AA1052" s="503"/>
      <c r="AB1052" s="503"/>
      <c r="AC1052" s="503"/>
      <c r="AD1052" s="503"/>
      <c r="AE1052" s="503"/>
      <c r="AF1052" s="503"/>
      <c r="AG1052" s="503"/>
      <c r="AH1052" s="503"/>
      <c r="AI1052" s="503"/>
      <c r="AJ1052" s="503"/>
      <c r="AK1052" s="503"/>
      <c r="AL1052" s="503"/>
      <c r="AM1052" s="503"/>
      <c r="AN1052" s="503"/>
      <c r="AO1052" s="503"/>
      <c r="AP1052" s="503"/>
      <c r="AQ1052" s="503"/>
      <c r="AR1052" s="503"/>
      <c r="AS1052" s="503"/>
      <c r="AT1052" s="503"/>
      <c r="AU1052" s="503"/>
      <c r="AV1052" s="503"/>
      <c r="AW1052" s="503"/>
      <c r="AX1052" s="503"/>
      <c r="AY1052" s="503"/>
      <c r="AZ1052" s="503"/>
      <c r="BA1052" s="503"/>
      <c r="BB1052" s="503"/>
      <c r="BC1052" s="503"/>
      <c r="BD1052" s="503"/>
      <c r="BE1052" s="503"/>
      <c r="BF1052" s="503"/>
      <c r="BG1052" s="503"/>
      <c r="BH1052" s="503"/>
      <c r="BI1052" s="503"/>
      <c r="BJ1052" s="503"/>
      <c r="BK1052" s="503"/>
      <c r="BL1052" s="503"/>
      <c r="BM1052" s="503"/>
      <c r="BN1052" s="503"/>
      <c r="BO1052" s="503"/>
      <c r="BP1052" s="503"/>
      <c r="BQ1052" s="503"/>
      <c r="BR1052" s="503"/>
      <c r="BS1052" s="503"/>
      <c r="BT1052" s="503"/>
      <c r="BU1052" s="503"/>
      <c r="BV1052" s="503"/>
      <c r="BW1052" s="503"/>
      <c r="BX1052" s="503"/>
      <c r="BY1052" s="503"/>
      <c r="BZ1052" s="503"/>
      <c r="CA1052" s="503"/>
      <c r="CB1052" s="503"/>
      <c r="CC1052" s="503"/>
      <c r="CD1052" s="503"/>
      <c r="CE1052" s="503"/>
      <c r="CF1052" s="503"/>
      <c r="CG1052" s="503"/>
      <c r="CH1052" s="503"/>
      <c r="CI1052" s="503"/>
      <c r="CJ1052" s="503"/>
      <c r="CK1052" s="503"/>
      <c r="CL1052" s="503"/>
      <c r="CM1052" s="503"/>
      <c r="CN1052" s="503"/>
      <c r="CO1052" s="503"/>
      <c r="CP1052" s="503"/>
      <c r="CQ1052" s="503"/>
      <c r="CR1052" s="503"/>
      <c r="CS1052" s="503"/>
      <c r="CT1052" s="503"/>
      <c r="CU1052" s="503"/>
      <c r="CV1052" s="503"/>
      <c r="CW1052" s="503"/>
      <c r="CX1052" s="503"/>
      <c r="CY1052" s="503"/>
      <c r="CZ1052" s="503"/>
      <c r="DA1052" s="503"/>
      <c r="DB1052" s="503"/>
      <c r="DC1052" s="503"/>
      <c r="DD1052" s="503"/>
      <c r="DE1052" s="503"/>
      <c r="DF1052" s="503"/>
      <c r="DG1052" s="503"/>
      <c r="DH1052" s="503"/>
      <c r="DI1052" s="503"/>
      <c r="DJ1052" s="503"/>
      <c r="DK1052" s="503"/>
      <c r="DL1052" s="503"/>
      <c r="DM1052" s="503"/>
      <c r="DN1052" s="503"/>
      <c r="DO1052" s="503"/>
      <c r="DP1052" s="503"/>
      <c r="DQ1052" s="503"/>
      <c r="DR1052" s="503"/>
      <c r="DS1052" s="503"/>
      <c r="DT1052" s="503"/>
      <c r="DU1052" s="503"/>
      <c r="DV1052" s="503"/>
      <c r="DW1052" s="503"/>
      <c r="DX1052" s="503"/>
      <c r="DY1052" s="503"/>
      <c r="DZ1052" s="503"/>
    </row>
    <row r="1053" spans="1:130" s="416" customFormat="1" outlineLevel="1" collapsed="1">
      <c r="A1053" s="403" t="s">
        <v>336</v>
      </c>
      <c r="B1053" s="403"/>
      <c r="C1053" s="403"/>
      <c r="D1053" s="403"/>
      <c r="E1053" s="490"/>
      <c r="F1053" s="385"/>
      <c r="G1053" s="385"/>
      <c r="H1053" s="385" t="s">
        <v>64</v>
      </c>
      <c r="I1053" s="385"/>
      <c r="J1053" s="489"/>
      <c r="K1053" s="412"/>
      <c r="L1053" s="412"/>
      <c r="M1053" s="490"/>
      <c r="N1053" s="490"/>
      <c r="O1053" s="377"/>
      <c r="P1053" s="377"/>
      <c r="Q1053" s="377"/>
      <c r="R1053" s="377"/>
      <c r="S1053" s="377"/>
      <c r="T1053" s="377"/>
      <c r="U1053" s="377"/>
      <c r="V1053" s="377"/>
      <c r="W1053" s="377"/>
      <c r="X1053" s="377"/>
      <c r="Y1053" s="377"/>
      <c r="Z1053" s="377"/>
      <c r="AA1053" s="377"/>
      <c r="AB1053" s="377"/>
      <c r="AC1053" s="377"/>
      <c r="AD1053" s="377"/>
      <c r="AE1053" s="377"/>
      <c r="AF1053" s="377"/>
      <c r="AG1053" s="377"/>
      <c r="AH1053" s="377"/>
      <c r="AI1053" s="377"/>
      <c r="AJ1053" s="377"/>
      <c r="AK1053" s="377"/>
      <c r="AL1053" s="377"/>
      <c r="AM1053" s="377"/>
      <c r="AN1053" s="377"/>
      <c r="AO1053" s="377"/>
      <c r="AP1053" s="377"/>
      <c r="AQ1053" s="377"/>
      <c r="AR1053" s="377"/>
      <c r="AS1053" s="377"/>
      <c r="AT1053" s="377"/>
      <c r="AU1053" s="377"/>
      <c r="AV1053" s="377"/>
      <c r="AW1053" s="377"/>
      <c r="AX1053" s="377"/>
      <c r="AY1053" s="377"/>
      <c r="AZ1053" s="377"/>
      <c r="BA1053" s="377"/>
      <c r="BB1053" s="377"/>
      <c r="BC1053" s="377"/>
      <c r="BD1053" s="377"/>
      <c r="BE1053" s="377"/>
      <c r="BF1053" s="377"/>
      <c r="BG1053" s="377"/>
      <c r="BH1053" s="377"/>
      <c r="BI1053" s="377"/>
      <c r="BJ1053" s="377"/>
      <c r="BK1053" s="377"/>
      <c r="BL1053" s="377"/>
      <c r="BM1053" s="377"/>
      <c r="BN1053" s="377"/>
      <c r="BO1053" s="377"/>
      <c r="BP1053" s="377"/>
      <c r="BQ1053" s="377"/>
      <c r="BR1053" s="377"/>
      <c r="BS1053" s="377"/>
      <c r="BT1053" s="377"/>
      <c r="BU1053" s="377"/>
      <c r="BV1053" s="377"/>
      <c r="BW1053" s="377"/>
      <c r="BX1053" s="377"/>
      <c r="BY1053" s="377"/>
      <c r="BZ1053" s="377"/>
      <c r="CA1053" s="377"/>
      <c r="CB1053" s="377"/>
      <c r="CC1053" s="377"/>
      <c r="CD1053" s="377"/>
      <c r="CE1053" s="377"/>
      <c r="CF1053" s="377"/>
      <c r="CG1053" s="377"/>
      <c r="CH1053" s="377"/>
      <c r="CI1053" s="377"/>
      <c r="CJ1053" s="377"/>
      <c r="CK1053" s="377"/>
      <c r="CL1053" s="377"/>
      <c r="CM1053" s="377"/>
      <c r="CN1053" s="377"/>
      <c r="CO1053" s="377"/>
      <c r="CP1053" s="377"/>
      <c r="CQ1053" s="377"/>
      <c r="CR1053" s="377"/>
      <c r="CS1053" s="377"/>
      <c r="CT1053" s="377"/>
      <c r="CU1053" s="377"/>
      <c r="CV1053" s="377"/>
      <c r="CW1053" s="377"/>
      <c r="CX1053" s="377"/>
      <c r="CY1053" s="377"/>
      <c r="CZ1053" s="377"/>
      <c r="DA1053" s="377"/>
      <c r="DB1053" s="377"/>
      <c r="DC1053" s="377"/>
      <c r="DD1053" s="377"/>
      <c r="DE1053" s="377"/>
      <c r="DF1053" s="377"/>
      <c r="DG1053" s="377"/>
      <c r="DH1053" s="377"/>
      <c r="DI1053" s="377"/>
      <c r="DJ1053" s="377"/>
      <c r="DK1053" s="377"/>
      <c r="DL1053" s="377"/>
      <c r="DM1053" s="377"/>
      <c r="DN1053" s="377"/>
      <c r="DO1053" s="377"/>
      <c r="DP1053" s="377"/>
      <c r="DQ1053" s="377"/>
      <c r="DR1053" s="377"/>
      <c r="DS1053" s="377"/>
      <c r="DT1053" s="377"/>
      <c r="DU1053" s="377"/>
      <c r="DV1053" s="377"/>
      <c r="DW1053" s="377"/>
      <c r="DX1053" s="377"/>
      <c r="DY1053" s="377"/>
      <c r="DZ1053" s="377"/>
    </row>
    <row r="1054" spans="1:130" s="411" customFormat="1" ht="116.25" hidden="1" customHeight="1" outlineLevel="2" collapsed="1">
      <c r="A1054" s="489" t="s">
        <v>1446</v>
      </c>
      <c r="B1054" s="490" t="s">
        <v>301</v>
      </c>
      <c r="C1054" s="398" t="s">
        <v>954</v>
      </c>
      <c r="D1054" s="399" t="s">
        <v>391</v>
      </c>
      <c r="E1054" s="490" t="s">
        <v>1535</v>
      </c>
      <c r="F1054" s="385" t="s">
        <v>303</v>
      </c>
      <c r="G1054" s="385"/>
      <c r="H1054" s="401" t="s">
        <v>955</v>
      </c>
      <c r="I1054" s="385" t="str">
        <f>CONCATENATE(I1055," ","(",H1055,")","-",N1055," ",M1055,I1056," ","(",H1056,")","-",N1056," ",M1056, I1057," ","(",H1057,")","-",N1057," ",M1057)</f>
        <v>замена/установка электросчетчиков РиМ (РиМ 489.18)-10 шт.установка электросчетчиков Меркурий (Меркурий 234 ARTM-00 PB.R)-10 шт.замена/установка электросчетчиков РиМ (CE308 C36.746.OPR1.QYDVF RP03 DLP и СЕ805М EXT1)-41 шт.</v>
      </c>
      <c r="J1054" s="489" t="s">
        <v>365</v>
      </c>
      <c r="K1054" s="450">
        <v>44287</v>
      </c>
      <c r="L1054" s="450">
        <v>44500</v>
      </c>
      <c r="M1054" s="490"/>
      <c r="N1054" s="490"/>
      <c r="O1054" s="384"/>
      <c r="P1054" s="384"/>
      <c r="Q1054" s="384"/>
      <c r="R1054" s="384"/>
      <c r="S1054" s="384"/>
      <c r="T1054" s="384"/>
      <c r="U1054" s="384"/>
      <c r="V1054" s="384"/>
      <c r="W1054" s="384"/>
      <c r="X1054" s="384"/>
      <c r="Y1054" s="384"/>
      <c r="Z1054" s="384"/>
      <c r="AA1054" s="384"/>
      <c r="AB1054" s="384"/>
      <c r="AC1054" s="384"/>
      <c r="AD1054" s="384"/>
      <c r="AE1054" s="384"/>
      <c r="AF1054" s="384"/>
      <c r="AG1054" s="384"/>
      <c r="AH1054" s="384"/>
      <c r="AI1054" s="384"/>
      <c r="AJ1054" s="384"/>
      <c r="AK1054" s="384"/>
      <c r="AL1054" s="384"/>
      <c r="AM1054" s="384"/>
      <c r="AN1054" s="384"/>
      <c r="AO1054" s="384"/>
      <c r="AP1054" s="384"/>
      <c r="AQ1054" s="384"/>
      <c r="AR1054" s="384"/>
      <c r="AS1054" s="384"/>
      <c r="AT1054" s="384"/>
      <c r="AU1054" s="384"/>
      <c r="AV1054" s="384"/>
      <c r="AW1054" s="384"/>
      <c r="AX1054" s="384"/>
      <c r="AY1054" s="384"/>
      <c r="AZ1054" s="384"/>
      <c r="BA1054" s="384"/>
      <c r="BB1054" s="384"/>
      <c r="BC1054" s="384"/>
      <c r="BD1054" s="384"/>
      <c r="BE1054" s="384"/>
      <c r="BF1054" s="384"/>
      <c r="BG1054" s="384"/>
      <c r="BH1054" s="384"/>
      <c r="BI1054" s="384"/>
      <c r="BJ1054" s="384"/>
      <c r="BK1054" s="384"/>
      <c r="BL1054" s="384"/>
      <c r="BM1054" s="384"/>
      <c r="BN1054" s="384"/>
      <c r="BO1054" s="384"/>
      <c r="BP1054" s="384"/>
      <c r="BQ1054" s="384"/>
      <c r="BR1054" s="384"/>
      <c r="BS1054" s="384"/>
      <c r="BT1054" s="384"/>
      <c r="BU1054" s="384"/>
      <c r="BV1054" s="384"/>
      <c r="BW1054" s="384"/>
      <c r="BX1054" s="384"/>
      <c r="BY1054" s="384"/>
      <c r="BZ1054" s="384"/>
      <c r="CA1054" s="384"/>
      <c r="CB1054" s="384"/>
      <c r="CC1054" s="384"/>
      <c r="CD1054" s="384"/>
      <c r="CE1054" s="384"/>
      <c r="CF1054" s="384"/>
      <c r="CG1054" s="384"/>
      <c r="CH1054" s="384"/>
      <c r="CI1054" s="384"/>
      <c r="CJ1054" s="384"/>
      <c r="CK1054" s="384"/>
      <c r="CL1054" s="384"/>
      <c r="CM1054" s="384"/>
      <c r="CN1054" s="384"/>
      <c r="CO1054" s="384"/>
      <c r="CP1054" s="384"/>
      <c r="CQ1054" s="384"/>
      <c r="CR1054" s="384"/>
      <c r="CS1054" s="384"/>
      <c r="CT1054" s="384"/>
      <c r="CU1054" s="384"/>
      <c r="CV1054" s="384"/>
      <c r="CW1054" s="384"/>
      <c r="CX1054" s="384"/>
      <c r="CY1054" s="384"/>
      <c r="CZ1054" s="384"/>
      <c r="DA1054" s="384"/>
      <c r="DB1054" s="384"/>
      <c r="DC1054" s="384"/>
      <c r="DD1054" s="384"/>
      <c r="DE1054" s="384"/>
      <c r="DF1054" s="384"/>
      <c r="DG1054" s="384"/>
      <c r="DH1054" s="384"/>
      <c r="DI1054" s="384"/>
      <c r="DJ1054" s="384"/>
      <c r="DK1054" s="384"/>
      <c r="DL1054" s="384"/>
      <c r="DM1054" s="384"/>
      <c r="DN1054" s="384"/>
      <c r="DO1054" s="384"/>
      <c r="DP1054" s="384"/>
      <c r="DQ1054" s="384"/>
      <c r="DR1054" s="384"/>
      <c r="DS1054" s="384"/>
      <c r="DT1054" s="384"/>
      <c r="DU1054" s="384"/>
      <c r="DV1054" s="384"/>
      <c r="DW1054" s="384"/>
      <c r="DX1054" s="384"/>
      <c r="DY1054" s="384"/>
      <c r="DZ1054" s="384"/>
    </row>
    <row r="1055" spans="1:130" ht="42" hidden="1" customHeight="1" outlineLevel="3">
      <c r="A1055" s="408"/>
      <c r="B1055" s="408" t="s">
        <v>301</v>
      </c>
      <c r="C1055" s="408"/>
      <c r="D1055" s="408"/>
      <c r="E1055" s="408"/>
      <c r="F1055" s="385"/>
      <c r="G1055" s="385" t="s">
        <v>3733</v>
      </c>
      <c r="H1055" s="401" t="s">
        <v>956</v>
      </c>
      <c r="I1055" s="385" t="s">
        <v>957</v>
      </c>
      <c r="J1055" s="489" t="s">
        <v>365</v>
      </c>
      <c r="K1055" s="412"/>
      <c r="L1055" s="412"/>
      <c r="M1055" s="490" t="s">
        <v>37</v>
      </c>
      <c r="N1055" s="490">
        <v>10</v>
      </c>
    </row>
    <row r="1056" spans="1:130" ht="89.25" hidden="1" customHeight="1" outlineLevel="3">
      <c r="A1056" s="408"/>
      <c r="B1056" s="408"/>
      <c r="C1056" s="408"/>
      <c r="D1056" s="408"/>
      <c r="E1056" s="408"/>
      <c r="F1056" s="385"/>
      <c r="G1056" s="385" t="s">
        <v>958</v>
      </c>
      <c r="H1056" s="401" t="s">
        <v>959</v>
      </c>
      <c r="I1056" s="385" t="s">
        <v>960</v>
      </c>
      <c r="J1056" s="489" t="s">
        <v>365</v>
      </c>
      <c r="K1056" s="412"/>
      <c r="L1056" s="412"/>
      <c r="M1056" s="490" t="s">
        <v>37</v>
      </c>
      <c r="N1056" s="490">
        <v>10</v>
      </c>
    </row>
    <row r="1057" spans="1:130" ht="66.75" hidden="1" customHeight="1" outlineLevel="3">
      <c r="A1057" s="438"/>
      <c r="B1057" s="490" t="s">
        <v>301</v>
      </c>
      <c r="C1057" s="398"/>
      <c r="D1057" s="399"/>
      <c r="E1057" s="385"/>
      <c r="F1057" s="385"/>
      <c r="G1057" s="385" t="s">
        <v>3734</v>
      </c>
      <c r="H1057" s="401" t="s">
        <v>961</v>
      </c>
      <c r="I1057" s="385" t="s">
        <v>957</v>
      </c>
      <c r="J1057" s="489" t="s">
        <v>365</v>
      </c>
      <c r="K1057" s="412"/>
      <c r="L1057" s="412"/>
      <c r="M1057" s="490" t="s">
        <v>37</v>
      </c>
      <c r="N1057" s="490">
        <v>41</v>
      </c>
    </row>
    <row r="1058" spans="1:130" s="411" customFormat="1" ht="116.25" hidden="1" customHeight="1" outlineLevel="2" collapsed="1">
      <c r="A1058" s="489" t="s">
        <v>1447</v>
      </c>
      <c r="B1058" s="490" t="s">
        <v>301</v>
      </c>
      <c r="C1058" s="398" t="s">
        <v>607</v>
      </c>
      <c r="D1058" s="399" t="s">
        <v>391</v>
      </c>
      <c r="E1058" s="490" t="s">
        <v>1534</v>
      </c>
      <c r="F1058" s="385" t="s">
        <v>303</v>
      </c>
      <c r="G1058" s="385"/>
      <c r="H1058" s="401" t="s">
        <v>1533</v>
      </c>
      <c r="I1058" s="385" t="str">
        <f>CONCATENATE(I1059," ","(",H1059,")","-",N1059," ",M1059,I1060," ","(",H1060,")","-",N1060," ",M1060,)</f>
        <v>замена электросчетчиков РиМ (РиМ 489.02.ВК3 и РиМ 489.13 и РиМ 489.14)-38 шт.замена маршрутизаторов РиМ (РиМ- 099.02)-3 шт.</v>
      </c>
      <c r="J1058" s="489" t="s">
        <v>365</v>
      </c>
      <c r="K1058" s="450">
        <v>44287</v>
      </c>
      <c r="L1058" s="450">
        <v>44500</v>
      </c>
      <c r="M1058" s="490"/>
      <c r="N1058" s="490"/>
      <c r="O1058" s="384"/>
      <c r="P1058" s="384"/>
      <c r="Q1058" s="384"/>
      <c r="R1058" s="384"/>
      <c r="S1058" s="384"/>
      <c r="T1058" s="384"/>
      <c r="U1058" s="384"/>
      <c r="V1058" s="384"/>
      <c r="W1058" s="384"/>
      <c r="X1058" s="384"/>
      <c r="Y1058" s="384"/>
      <c r="Z1058" s="384"/>
      <c r="AA1058" s="384"/>
      <c r="AB1058" s="384"/>
      <c r="AC1058" s="384"/>
      <c r="AD1058" s="384"/>
      <c r="AE1058" s="384"/>
      <c r="AF1058" s="384"/>
      <c r="AG1058" s="384"/>
      <c r="AH1058" s="384"/>
      <c r="AI1058" s="384"/>
      <c r="AJ1058" s="384"/>
      <c r="AK1058" s="384"/>
      <c r="AL1058" s="384"/>
      <c r="AM1058" s="384"/>
      <c r="AN1058" s="384"/>
      <c r="AO1058" s="384"/>
      <c r="AP1058" s="384"/>
      <c r="AQ1058" s="384"/>
      <c r="AR1058" s="384"/>
      <c r="AS1058" s="384"/>
      <c r="AT1058" s="384"/>
      <c r="AU1058" s="384"/>
      <c r="AV1058" s="384"/>
      <c r="AW1058" s="384"/>
      <c r="AX1058" s="384"/>
      <c r="AY1058" s="384"/>
      <c r="AZ1058" s="384"/>
      <c r="BA1058" s="384"/>
      <c r="BB1058" s="384"/>
      <c r="BC1058" s="384"/>
      <c r="BD1058" s="384"/>
      <c r="BE1058" s="384"/>
      <c r="BF1058" s="384"/>
      <c r="BG1058" s="384"/>
      <c r="BH1058" s="384"/>
      <c r="BI1058" s="384"/>
      <c r="BJ1058" s="384"/>
      <c r="BK1058" s="384"/>
      <c r="BL1058" s="384"/>
      <c r="BM1058" s="384"/>
      <c r="BN1058" s="384"/>
      <c r="BO1058" s="384"/>
      <c r="BP1058" s="384"/>
      <c r="BQ1058" s="384"/>
      <c r="BR1058" s="384"/>
      <c r="BS1058" s="384"/>
      <c r="BT1058" s="384"/>
      <c r="BU1058" s="384"/>
      <c r="BV1058" s="384"/>
      <c r="BW1058" s="384"/>
      <c r="BX1058" s="384"/>
      <c r="BY1058" s="384"/>
      <c r="BZ1058" s="384"/>
      <c r="CA1058" s="384"/>
      <c r="CB1058" s="384"/>
      <c r="CC1058" s="384"/>
      <c r="CD1058" s="384"/>
      <c r="CE1058" s="384"/>
      <c r="CF1058" s="384"/>
      <c r="CG1058" s="384"/>
      <c r="CH1058" s="384"/>
      <c r="CI1058" s="384"/>
      <c r="CJ1058" s="384"/>
      <c r="CK1058" s="384"/>
      <c r="CL1058" s="384"/>
      <c r="CM1058" s="384"/>
      <c r="CN1058" s="384"/>
      <c r="CO1058" s="384"/>
      <c r="CP1058" s="384"/>
      <c r="CQ1058" s="384"/>
      <c r="CR1058" s="384"/>
      <c r="CS1058" s="384"/>
      <c r="CT1058" s="384"/>
      <c r="CU1058" s="384"/>
      <c r="CV1058" s="384"/>
      <c r="CW1058" s="384"/>
      <c r="CX1058" s="384"/>
      <c r="CY1058" s="384"/>
      <c r="CZ1058" s="384"/>
      <c r="DA1058" s="384"/>
      <c r="DB1058" s="384"/>
      <c r="DC1058" s="384"/>
      <c r="DD1058" s="384"/>
      <c r="DE1058" s="384"/>
      <c r="DF1058" s="384"/>
      <c r="DG1058" s="384"/>
      <c r="DH1058" s="384"/>
      <c r="DI1058" s="384"/>
      <c r="DJ1058" s="384"/>
      <c r="DK1058" s="384"/>
      <c r="DL1058" s="384"/>
      <c r="DM1058" s="384"/>
      <c r="DN1058" s="384"/>
      <c r="DO1058" s="384"/>
      <c r="DP1058" s="384"/>
      <c r="DQ1058" s="384"/>
      <c r="DR1058" s="384"/>
      <c r="DS1058" s="384"/>
      <c r="DT1058" s="384"/>
      <c r="DU1058" s="384"/>
      <c r="DV1058" s="384"/>
      <c r="DW1058" s="384"/>
      <c r="DX1058" s="384"/>
      <c r="DY1058" s="384"/>
      <c r="DZ1058" s="384"/>
    </row>
    <row r="1059" spans="1:130" ht="42" hidden="1" customHeight="1" outlineLevel="3">
      <c r="A1059" s="408"/>
      <c r="B1059" s="408" t="s">
        <v>301</v>
      </c>
      <c r="C1059" s="408"/>
      <c r="D1059" s="408"/>
      <c r="E1059" s="408"/>
      <c r="F1059" s="385"/>
      <c r="G1059" s="385"/>
      <c r="H1059" s="401" t="s">
        <v>962</v>
      </c>
      <c r="I1059" s="385" t="s">
        <v>963</v>
      </c>
      <c r="J1059" s="489" t="s">
        <v>365</v>
      </c>
      <c r="K1059" s="412"/>
      <c r="L1059" s="412"/>
      <c r="M1059" s="490" t="s">
        <v>37</v>
      </c>
      <c r="N1059" s="490">
        <v>38</v>
      </c>
    </row>
    <row r="1060" spans="1:130" ht="89.25" hidden="1" customHeight="1" outlineLevel="3">
      <c r="A1060" s="408"/>
      <c r="B1060" s="408"/>
      <c r="C1060" s="408"/>
      <c r="D1060" s="408"/>
      <c r="E1060" s="408"/>
      <c r="F1060" s="385"/>
      <c r="G1060" s="385"/>
      <c r="H1060" s="401" t="s">
        <v>964</v>
      </c>
      <c r="I1060" s="385" t="s">
        <v>965</v>
      </c>
      <c r="J1060" s="489" t="s">
        <v>365</v>
      </c>
      <c r="K1060" s="412"/>
      <c r="L1060" s="412"/>
      <c r="M1060" s="490" t="s">
        <v>37</v>
      </c>
      <c r="N1060" s="490">
        <v>3</v>
      </c>
    </row>
    <row r="1061" spans="1:130" hidden="1" outlineLevel="3">
      <c r="A1061" s="438"/>
      <c r="B1061" s="490"/>
      <c r="C1061" s="398"/>
      <c r="D1061" s="399"/>
      <c r="E1061" s="385"/>
      <c r="F1061" s="385"/>
      <c r="G1061" s="385"/>
      <c r="H1061" s="401"/>
      <c r="I1061" s="385"/>
      <c r="J1061" s="489" t="s">
        <v>365</v>
      </c>
      <c r="K1061" s="412"/>
      <c r="L1061" s="412"/>
      <c r="M1061" s="490"/>
      <c r="N1061" s="490"/>
    </row>
    <row r="1062" spans="1:130" ht="42" customHeight="1" outlineLevel="1" collapsed="1">
      <c r="A1062" s="490" t="s">
        <v>3217</v>
      </c>
      <c r="B1062" s="490"/>
      <c r="C1062" s="490"/>
      <c r="D1062" s="490"/>
      <c r="E1062" s="490"/>
      <c r="F1062" s="490"/>
      <c r="G1062" s="385"/>
      <c r="H1062" s="385" t="s">
        <v>65</v>
      </c>
      <c r="I1062" s="385"/>
      <c r="J1062" s="490"/>
      <c r="K1062" s="490"/>
      <c r="L1062" s="490"/>
      <c r="M1062" s="490"/>
      <c r="N1062" s="490"/>
    </row>
    <row r="1063" spans="1:130" hidden="1" outlineLevel="2">
      <c r="A1063" s="438"/>
      <c r="B1063" s="490"/>
      <c r="C1063" s="414"/>
      <c r="D1063" s="490"/>
      <c r="E1063" s="490"/>
      <c r="F1063" s="385"/>
      <c r="G1063" s="385"/>
      <c r="H1063" s="468"/>
      <c r="I1063" s="408" t="s">
        <v>65</v>
      </c>
      <c r="J1063" s="489"/>
      <c r="K1063" s="412"/>
      <c r="L1063" s="412"/>
      <c r="M1063" s="490"/>
      <c r="N1063" s="490"/>
    </row>
    <row r="1064" spans="1:130" s="393" customFormat="1">
      <c r="A1064" s="438" t="s">
        <v>337</v>
      </c>
      <c r="B1064" s="490"/>
      <c r="C1064" s="414"/>
      <c r="D1064" s="490"/>
      <c r="E1064" s="490"/>
      <c r="F1064" s="385"/>
      <c r="G1064" s="385"/>
      <c r="H1064" s="539" t="s">
        <v>68</v>
      </c>
      <c r="I1064" s="385"/>
      <c r="J1064" s="489"/>
      <c r="K1064" s="412"/>
      <c r="L1064" s="412"/>
      <c r="M1064" s="389"/>
      <c r="N1064" s="389"/>
      <c r="O1064" s="377"/>
      <c r="P1064" s="377"/>
      <c r="Q1064" s="377"/>
      <c r="R1064" s="377"/>
      <c r="S1064" s="377"/>
      <c r="T1064" s="377"/>
      <c r="U1064" s="377"/>
      <c r="V1064" s="377"/>
      <c r="W1064" s="377"/>
      <c r="X1064" s="377"/>
      <c r="Y1064" s="377"/>
      <c r="Z1064" s="377"/>
      <c r="AA1064" s="377"/>
      <c r="AB1064" s="377"/>
      <c r="AC1064" s="377"/>
      <c r="AD1064" s="377"/>
      <c r="AE1064" s="377"/>
      <c r="AF1064" s="377"/>
      <c r="AG1064" s="377"/>
      <c r="AH1064" s="377"/>
      <c r="AI1064" s="377"/>
      <c r="AJ1064" s="377"/>
      <c r="AK1064" s="377"/>
      <c r="AL1064" s="377"/>
      <c r="AM1064" s="377"/>
      <c r="AN1064" s="377"/>
      <c r="AO1064" s="377"/>
      <c r="AP1064" s="377"/>
      <c r="AQ1064" s="377"/>
      <c r="AR1064" s="377"/>
      <c r="AS1064" s="377"/>
      <c r="AT1064" s="377"/>
      <c r="AU1064" s="377"/>
      <c r="AV1064" s="377"/>
      <c r="AW1064" s="377"/>
      <c r="AX1064" s="377"/>
      <c r="AY1064" s="377"/>
      <c r="AZ1064" s="377"/>
      <c r="BA1064" s="377"/>
      <c r="BB1064" s="377"/>
      <c r="BC1064" s="377"/>
      <c r="BD1064" s="377"/>
      <c r="BE1064" s="377"/>
      <c r="BF1064" s="377"/>
      <c r="BG1064" s="377"/>
      <c r="BH1064" s="377"/>
      <c r="BI1064" s="377"/>
      <c r="BJ1064" s="377"/>
      <c r="BK1064" s="377"/>
      <c r="BL1064" s="377"/>
      <c r="BM1064" s="377"/>
      <c r="BN1064" s="377"/>
      <c r="BO1064" s="377"/>
      <c r="BP1064" s="377"/>
      <c r="BQ1064" s="377"/>
      <c r="BR1064" s="377"/>
      <c r="BS1064" s="377"/>
      <c r="BT1064" s="377"/>
      <c r="BU1064" s="377"/>
      <c r="BV1064" s="377"/>
      <c r="BW1064" s="377"/>
      <c r="BX1064" s="377"/>
      <c r="BY1064" s="377"/>
      <c r="BZ1064" s="377"/>
      <c r="CA1064" s="377"/>
      <c r="CB1064" s="377"/>
      <c r="CC1064" s="377"/>
      <c r="CD1064" s="377"/>
      <c r="CE1064" s="377"/>
      <c r="CF1064" s="377"/>
      <c r="CG1064" s="377"/>
      <c r="CH1064" s="377"/>
      <c r="CI1064" s="377"/>
      <c r="CJ1064" s="377"/>
      <c r="CK1064" s="377"/>
      <c r="CL1064" s="377"/>
      <c r="CM1064" s="377"/>
      <c r="CN1064" s="377"/>
      <c r="CO1064" s="377"/>
      <c r="CP1064" s="377"/>
      <c r="CQ1064" s="377"/>
      <c r="CR1064" s="377"/>
      <c r="CS1064" s="377"/>
      <c r="CT1064" s="377"/>
      <c r="CU1064" s="377"/>
      <c r="CV1064" s="377"/>
      <c r="CW1064" s="377"/>
      <c r="CX1064" s="377"/>
      <c r="CY1064" s="377"/>
      <c r="CZ1064" s="377"/>
      <c r="DA1064" s="377"/>
      <c r="DB1064" s="377"/>
      <c r="DC1064" s="377"/>
      <c r="DD1064" s="377"/>
      <c r="DE1064" s="377"/>
      <c r="DF1064" s="377"/>
      <c r="DG1064" s="377"/>
      <c r="DH1064" s="377"/>
      <c r="DI1064" s="377"/>
      <c r="DJ1064" s="377"/>
      <c r="DK1064" s="377"/>
      <c r="DL1064" s="377"/>
      <c r="DM1064" s="377"/>
      <c r="DN1064" s="377"/>
      <c r="DO1064" s="377"/>
      <c r="DP1064" s="377"/>
      <c r="DQ1064" s="377"/>
      <c r="DR1064" s="377"/>
      <c r="DS1064" s="377"/>
      <c r="DT1064" s="377"/>
      <c r="DU1064" s="377"/>
      <c r="DV1064" s="377"/>
      <c r="DW1064" s="377"/>
      <c r="DX1064" s="377"/>
      <c r="DY1064" s="377"/>
      <c r="DZ1064" s="377"/>
    </row>
    <row r="1065" spans="1:130" s="405" customFormat="1" ht="40.5" outlineLevel="1" collapsed="1">
      <c r="A1065" s="489" t="s">
        <v>1448</v>
      </c>
      <c r="B1065" s="490" t="s">
        <v>63</v>
      </c>
      <c r="C1065" s="398" t="s">
        <v>408</v>
      </c>
      <c r="D1065" s="399" t="s">
        <v>391</v>
      </c>
      <c r="E1065" s="490" t="s">
        <v>1685</v>
      </c>
      <c r="F1065" s="385" t="s">
        <v>303</v>
      </c>
      <c r="G1065" s="385"/>
      <c r="H1065" s="401" t="s">
        <v>1684</v>
      </c>
      <c r="I1065" s="385" t="str">
        <f>CONCATENATE(I1066," ","(",H1066,")","-",N1066," ",M1066)</f>
        <v>Монтаж дверей ()-1 шт.</v>
      </c>
      <c r="J1065" s="489" t="s">
        <v>365</v>
      </c>
      <c r="K1065" s="450">
        <v>44409</v>
      </c>
      <c r="L1065" s="450">
        <v>44439</v>
      </c>
      <c r="M1065" s="490"/>
      <c r="N1065" s="490"/>
      <c r="O1065" s="493"/>
      <c r="P1065" s="493"/>
      <c r="Q1065" s="493"/>
      <c r="R1065" s="493"/>
      <c r="S1065" s="493"/>
      <c r="T1065" s="493"/>
      <c r="U1065" s="493"/>
      <c r="V1065" s="493"/>
      <c r="W1065" s="493"/>
      <c r="X1065" s="493"/>
      <c r="Y1065" s="493"/>
      <c r="Z1065" s="493"/>
      <c r="AA1065" s="493"/>
      <c r="AB1065" s="493"/>
      <c r="AC1065" s="493"/>
      <c r="AD1065" s="493"/>
      <c r="AE1065" s="493"/>
      <c r="AF1065" s="493"/>
      <c r="AG1065" s="493"/>
      <c r="AH1065" s="493"/>
      <c r="AI1065" s="493"/>
      <c r="AJ1065" s="493"/>
      <c r="AK1065" s="493"/>
      <c r="AL1065" s="493"/>
      <c r="AM1065" s="493"/>
      <c r="AN1065" s="493"/>
      <c r="AO1065" s="493"/>
      <c r="AP1065" s="493"/>
      <c r="AQ1065" s="493"/>
      <c r="AR1065" s="493"/>
      <c r="AS1065" s="493"/>
      <c r="AT1065" s="493"/>
      <c r="AU1065" s="493"/>
      <c r="AV1065" s="493"/>
      <c r="AW1065" s="493"/>
      <c r="AX1065" s="493"/>
      <c r="AY1065" s="493"/>
      <c r="AZ1065" s="493"/>
      <c r="BA1065" s="493"/>
      <c r="BB1065" s="493"/>
      <c r="BC1065" s="493"/>
      <c r="BD1065" s="493"/>
      <c r="BE1065" s="493"/>
      <c r="BF1065" s="493"/>
      <c r="BG1065" s="493"/>
      <c r="BH1065" s="493"/>
      <c r="BI1065" s="493"/>
      <c r="BJ1065" s="493"/>
      <c r="BK1065" s="493"/>
      <c r="BL1065" s="493"/>
      <c r="BM1065" s="493"/>
      <c r="BN1065" s="493"/>
      <c r="BO1065" s="493"/>
      <c r="BP1065" s="493"/>
      <c r="BQ1065" s="493"/>
      <c r="BR1065" s="493"/>
      <c r="BS1065" s="493"/>
      <c r="BT1065" s="493"/>
      <c r="BU1065" s="493"/>
      <c r="BV1065" s="493"/>
      <c r="BW1065" s="493"/>
      <c r="BX1065" s="493"/>
      <c r="BY1065" s="493"/>
      <c r="BZ1065" s="493"/>
      <c r="CA1065" s="493"/>
      <c r="CB1065" s="493"/>
      <c r="CC1065" s="493"/>
      <c r="CD1065" s="493"/>
      <c r="CE1065" s="493"/>
      <c r="CF1065" s="493"/>
      <c r="CG1065" s="493"/>
      <c r="CH1065" s="493"/>
      <c r="CI1065" s="493"/>
      <c r="CJ1065" s="493"/>
      <c r="CK1065" s="493"/>
      <c r="CL1065" s="493"/>
      <c r="CM1065" s="493"/>
      <c r="CN1065" s="493"/>
      <c r="CO1065" s="493"/>
      <c r="CP1065" s="493"/>
      <c r="CQ1065" s="493"/>
      <c r="CR1065" s="493"/>
      <c r="CS1065" s="493"/>
      <c r="CT1065" s="493"/>
      <c r="CU1065" s="493"/>
      <c r="CV1065" s="493"/>
      <c r="CW1065" s="493"/>
      <c r="CX1065" s="493"/>
      <c r="CY1065" s="493"/>
      <c r="CZ1065" s="493"/>
      <c r="DA1065" s="493"/>
      <c r="DB1065" s="493"/>
      <c r="DC1065" s="493"/>
      <c r="DD1065" s="493"/>
      <c r="DE1065" s="493"/>
      <c r="DF1065" s="493"/>
      <c r="DG1065" s="493"/>
      <c r="DH1065" s="493"/>
      <c r="DI1065" s="493"/>
      <c r="DJ1065" s="493"/>
      <c r="DK1065" s="493"/>
      <c r="DL1065" s="493"/>
      <c r="DM1065" s="493"/>
      <c r="DN1065" s="493"/>
      <c r="DO1065" s="493"/>
      <c r="DP1065" s="493"/>
      <c r="DQ1065" s="493"/>
      <c r="DR1065" s="493"/>
      <c r="DS1065" s="493"/>
      <c r="DT1065" s="493"/>
      <c r="DU1065" s="493"/>
      <c r="DV1065" s="493"/>
      <c r="DW1065" s="493"/>
      <c r="DX1065" s="493"/>
      <c r="DY1065" s="493"/>
      <c r="DZ1065" s="493"/>
    </row>
    <row r="1066" spans="1:130" hidden="1" outlineLevel="2">
      <c r="A1066" s="438"/>
      <c r="B1066" s="490" t="s">
        <v>63</v>
      </c>
      <c r="C1066" s="398" t="s">
        <v>408</v>
      </c>
      <c r="D1066" s="399" t="s">
        <v>391</v>
      </c>
      <c r="E1066" s="385"/>
      <c r="F1066" s="385"/>
      <c r="G1066" s="385"/>
      <c r="H1066" s="385"/>
      <c r="I1066" s="385" t="s">
        <v>1538</v>
      </c>
      <c r="J1066" s="489" t="s">
        <v>365</v>
      </c>
      <c r="K1066" s="412"/>
      <c r="L1066" s="412"/>
      <c r="M1066" s="490" t="s">
        <v>37</v>
      </c>
      <c r="N1066" s="490">
        <v>1</v>
      </c>
    </row>
    <row r="1067" spans="1:130" s="405" customFormat="1" ht="40.5" outlineLevel="1" collapsed="1">
      <c r="A1067" s="489" t="s">
        <v>1449</v>
      </c>
      <c r="B1067" s="490" t="s">
        <v>63</v>
      </c>
      <c r="C1067" s="398" t="s">
        <v>559</v>
      </c>
      <c r="D1067" s="399" t="s">
        <v>391</v>
      </c>
      <c r="E1067" s="490" t="s">
        <v>724</v>
      </c>
      <c r="F1067" s="385" t="s">
        <v>303</v>
      </c>
      <c r="G1067" s="385"/>
      <c r="H1067" s="401" t="s">
        <v>725</v>
      </c>
      <c r="I1067" s="385" t="str">
        <f>CONCATENATE(I1068," ","(",H1068,")","-",N1068," ",M1068," ",I1069," ","(",H1069,")","-",N1069," ",M1069)</f>
        <v>Ремонт освещения (ОПУ,ЗРУ 6)-12 шт. Монтаж системы отопления (ЗРУ-6 )-4 шт.</v>
      </c>
      <c r="J1067" s="489" t="s">
        <v>365</v>
      </c>
      <c r="K1067" s="450">
        <v>44531</v>
      </c>
      <c r="L1067" s="450">
        <v>44561</v>
      </c>
      <c r="M1067" s="490"/>
      <c r="N1067" s="490"/>
      <c r="O1067" s="493"/>
      <c r="P1067" s="493"/>
      <c r="Q1067" s="493"/>
      <c r="R1067" s="493"/>
      <c r="S1067" s="493"/>
      <c r="T1067" s="493"/>
      <c r="U1067" s="493"/>
      <c r="V1067" s="493"/>
      <c r="W1067" s="493"/>
      <c r="X1067" s="493"/>
      <c r="Y1067" s="493"/>
      <c r="Z1067" s="493"/>
      <c r="AA1067" s="493"/>
      <c r="AB1067" s="493"/>
      <c r="AC1067" s="493"/>
      <c r="AD1067" s="493"/>
      <c r="AE1067" s="493"/>
      <c r="AF1067" s="493"/>
      <c r="AG1067" s="493"/>
      <c r="AH1067" s="493"/>
      <c r="AI1067" s="493"/>
      <c r="AJ1067" s="493"/>
      <c r="AK1067" s="493"/>
      <c r="AL1067" s="493"/>
      <c r="AM1067" s="493"/>
      <c r="AN1067" s="493"/>
      <c r="AO1067" s="493"/>
      <c r="AP1067" s="493"/>
      <c r="AQ1067" s="493"/>
      <c r="AR1067" s="493"/>
      <c r="AS1067" s="493"/>
      <c r="AT1067" s="493"/>
      <c r="AU1067" s="493"/>
      <c r="AV1067" s="493"/>
      <c r="AW1067" s="493"/>
      <c r="AX1067" s="493"/>
      <c r="AY1067" s="493"/>
      <c r="AZ1067" s="493"/>
      <c r="BA1067" s="493"/>
      <c r="BB1067" s="493"/>
      <c r="BC1067" s="493"/>
      <c r="BD1067" s="493"/>
      <c r="BE1067" s="493"/>
      <c r="BF1067" s="493"/>
      <c r="BG1067" s="493"/>
      <c r="BH1067" s="493"/>
      <c r="BI1067" s="493"/>
      <c r="BJ1067" s="493"/>
      <c r="BK1067" s="493"/>
      <c r="BL1067" s="493"/>
      <c r="BM1067" s="493"/>
      <c r="BN1067" s="493"/>
      <c r="BO1067" s="493"/>
      <c r="BP1067" s="493"/>
      <c r="BQ1067" s="493"/>
      <c r="BR1067" s="493"/>
      <c r="BS1067" s="493"/>
      <c r="BT1067" s="493"/>
      <c r="BU1067" s="493"/>
      <c r="BV1067" s="493"/>
      <c r="BW1067" s="493"/>
      <c r="BX1067" s="493"/>
      <c r="BY1067" s="493"/>
      <c r="BZ1067" s="493"/>
      <c r="CA1067" s="493"/>
      <c r="CB1067" s="493"/>
      <c r="CC1067" s="493"/>
      <c r="CD1067" s="493"/>
      <c r="CE1067" s="493"/>
      <c r="CF1067" s="493"/>
      <c r="CG1067" s="493"/>
      <c r="CH1067" s="493"/>
      <c r="CI1067" s="493"/>
      <c r="CJ1067" s="493"/>
      <c r="CK1067" s="493"/>
      <c r="CL1067" s="493"/>
      <c r="CM1067" s="493"/>
      <c r="CN1067" s="493"/>
      <c r="CO1067" s="493"/>
      <c r="CP1067" s="493"/>
      <c r="CQ1067" s="493"/>
      <c r="CR1067" s="493"/>
      <c r="CS1067" s="493"/>
      <c r="CT1067" s="493"/>
      <c r="CU1067" s="493"/>
      <c r="CV1067" s="493"/>
      <c r="CW1067" s="493"/>
      <c r="CX1067" s="493"/>
      <c r="CY1067" s="493"/>
      <c r="CZ1067" s="493"/>
      <c r="DA1067" s="493"/>
      <c r="DB1067" s="493"/>
      <c r="DC1067" s="493"/>
      <c r="DD1067" s="493"/>
      <c r="DE1067" s="493"/>
      <c r="DF1067" s="493"/>
      <c r="DG1067" s="493"/>
      <c r="DH1067" s="493"/>
      <c r="DI1067" s="493"/>
      <c r="DJ1067" s="493"/>
      <c r="DK1067" s="493"/>
      <c r="DL1067" s="493"/>
      <c r="DM1067" s="493"/>
      <c r="DN1067" s="493"/>
      <c r="DO1067" s="493"/>
      <c r="DP1067" s="493"/>
      <c r="DQ1067" s="493"/>
      <c r="DR1067" s="493"/>
      <c r="DS1067" s="493"/>
      <c r="DT1067" s="493"/>
      <c r="DU1067" s="493"/>
      <c r="DV1067" s="493"/>
      <c r="DW1067" s="493"/>
      <c r="DX1067" s="493"/>
      <c r="DY1067" s="493"/>
      <c r="DZ1067" s="493"/>
    </row>
    <row r="1068" spans="1:130" hidden="1" outlineLevel="2">
      <c r="A1068" s="438"/>
      <c r="B1068" s="490" t="s">
        <v>63</v>
      </c>
      <c r="C1068" s="398" t="s">
        <v>559</v>
      </c>
      <c r="D1068" s="399" t="s">
        <v>391</v>
      </c>
      <c r="E1068" s="385"/>
      <c r="F1068" s="385"/>
      <c r="G1068" s="385"/>
      <c r="H1068" s="385" t="s">
        <v>729</v>
      </c>
      <c r="I1068" s="385" t="s">
        <v>726</v>
      </c>
      <c r="J1068" s="489" t="s">
        <v>365</v>
      </c>
      <c r="K1068" s="412"/>
      <c r="L1068" s="412"/>
      <c r="M1068" s="490" t="s">
        <v>37</v>
      </c>
      <c r="N1068" s="490">
        <v>12</v>
      </c>
    </row>
    <row r="1069" spans="1:130" hidden="1" outlineLevel="2">
      <c r="A1069" s="438"/>
      <c r="B1069" s="490" t="s">
        <v>63</v>
      </c>
      <c r="C1069" s="398" t="s">
        <v>559</v>
      </c>
      <c r="D1069" s="399" t="s">
        <v>391</v>
      </c>
      <c r="E1069" s="385"/>
      <c r="F1069" s="385"/>
      <c r="G1069" s="385"/>
      <c r="H1069" s="385" t="s">
        <v>728</v>
      </c>
      <c r="I1069" s="385" t="s">
        <v>727</v>
      </c>
      <c r="J1069" s="489" t="s">
        <v>365</v>
      </c>
      <c r="K1069" s="412"/>
      <c r="L1069" s="412"/>
      <c r="M1069" s="490" t="s">
        <v>37</v>
      </c>
      <c r="N1069" s="490">
        <v>4</v>
      </c>
    </row>
    <row r="1070" spans="1:130" s="405" customFormat="1" ht="40.5" outlineLevel="1" collapsed="1">
      <c r="A1070" s="489" t="s">
        <v>1450</v>
      </c>
      <c r="B1070" s="490" t="s">
        <v>63</v>
      </c>
      <c r="C1070" s="398" t="s">
        <v>698</v>
      </c>
      <c r="D1070" s="399" t="s">
        <v>391</v>
      </c>
      <c r="E1070" s="490" t="s">
        <v>1540</v>
      </c>
      <c r="F1070" s="385" t="s">
        <v>303</v>
      </c>
      <c r="G1070" s="385"/>
      <c r="H1070" s="401" t="s">
        <v>1815</v>
      </c>
      <c r="I1070" s="385" t="str">
        <f>CONCATENATE(I1071," ","(",H1071,")","-",N1071," ",M1071)</f>
        <v>Устройство кровли (ОПУ)-210 м2</v>
      </c>
      <c r="J1070" s="489" t="s">
        <v>365</v>
      </c>
      <c r="K1070" s="450">
        <v>44348</v>
      </c>
      <c r="L1070" s="450">
        <v>44377</v>
      </c>
      <c r="M1070" s="490"/>
      <c r="N1070" s="490"/>
      <c r="O1070" s="493"/>
      <c r="P1070" s="493"/>
      <c r="Q1070" s="493"/>
      <c r="R1070" s="493"/>
      <c r="S1070" s="493"/>
      <c r="T1070" s="493"/>
      <c r="U1070" s="493"/>
      <c r="V1070" s="493"/>
      <c r="W1070" s="493"/>
      <c r="X1070" s="493"/>
      <c r="Y1070" s="493"/>
      <c r="Z1070" s="493"/>
      <c r="AA1070" s="493"/>
      <c r="AB1070" s="493"/>
      <c r="AC1070" s="493"/>
      <c r="AD1070" s="493"/>
      <c r="AE1070" s="493"/>
      <c r="AF1070" s="493"/>
      <c r="AG1070" s="493"/>
      <c r="AH1070" s="493"/>
      <c r="AI1070" s="493"/>
      <c r="AJ1070" s="493"/>
      <c r="AK1070" s="493"/>
      <c r="AL1070" s="493"/>
      <c r="AM1070" s="493"/>
      <c r="AN1070" s="493"/>
      <c r="AO1070" s="493"/>
      <c r="AP1070" s="493"/>
      <c r="AQ1070" s="493"/>
      <c r="AR1070" s="493"/>
      <c r="AS1070" s="493"/>
      <c r="AT1070" s="493"/>
      <c r="AU1070" s="493"/>
      <c r="AV1070" s="493"/>
      <c r="AW1070" s="493"/>
      <c r="AX1070" s="493"/>
      <c r="AY1070" s="493"/>
      <c r="AZ1070" s="493"/>
      <c r="BA1070" s="493"/>
      <c r="BB1070" s="493"/>
      <c r="BC1070" s="493"/>
      <c r="BD1070" s="493"/>
      <c r="BE1070" s="493"/>
      <c r="BF1070" s="493"/>
      <c r="BG1070" s="493"/>
      <c r="BH1070" s="493"/>
      <c r="BI1070" s="493"/>
      <c r="BJ1070" s="493"/>
      <c r="BK1070" s="493"/>
      <c r="BL1070" s="493"/>
      <c r="BM1070" s="493"/>
      <c r="BN1070" s="493"/>
      <c r="BO1070" s="493"/>
      <c r="BP1070" s="493"/>
      <c r="BQ1070" s="493"/>
      <c r="BR1070" s="493"/>
      <c r="BS1070" s="493"/>
      <c r="BT1070" s="493"/>
      <c r="BU1070" s="493"/>
      <c r="BV1070" s="493"/>
      <c r="BW1070" s="493"/>
      <c r="BX1070" s="493"/>
      <c r="BY1070" s="493"/>
      <c r="BZ1070" s="493"/>
      <c r="CA1070" s="493"/>
      <c r="CB1070" s="493"/>
      <c r="CC1070" s="493"/>
      <c r="CD1070" s="493"/>
      <c r="CE1070" s="493"/>
      <c r="CF1070" s="493"/>
      <c r="CG1070" s="493"/>
      <c r="CH1070" s="493"/>
      <c r="CI1070" s="493"/>
      <c r="CJ1070" s="493"/>
      <c r="CK1070" s="493"/>
      <c r="CL1070" s="493"/>
      <c r="CM1070" s="493"/>
      <c r="CN1070" s="493"/>
      <c r="CO1070" s="493"/>
      <c r="CP1070" s="493"/>
      <c r="CQ1070" s="493"/>
      <c r="CR1070" s="493"/>
      <c r="CS1070" s="493"/>
      <c r="CT1070" s="493"/>
      <c r="CU1070" s="493"/>
      <c r="CV1070" s="493"/>
      <c r="CW1070" s="493"/>
      <c r="CX1070" s="493"/>
      <c r="CY1070" s="493"/>
      <c r="CZ1070" s="493"/>
      <c r="DA1070" s="493"/>
      <c r="DB1070" s="493"/>
      <c r="DC1070" s="493"/>
      <c r="DD1070" s="493"/>
      <c r="DE1070" s="493"/>
      <c r="DF1070" s="493"/>
      <c r="DG1070" s="493"/>
      <c r="DH1070" s="493"/>
      <c r="DI1070" s="493"/>
      <c r="DJ1070" s="493"/>
      <c r="DK1070" s="493"/>
      <c r="DL1070" s="493"/>
      <c r="DM1070" s="493"/>
      <c r="DN1070" s="493"/>
      <c r="DO1070" s="493"/>
      <c r="DP1070" s="493"/>
      <c r="DQ1070" s="493"/>
      <c r="DR1070" s="493"/>
      <c r="DS1070" s="493"/>
      <c r="DT1070" s="493"/>
      <c r="DU1070" s="493"/>
      <c r="DV1070" s="493"/>
      <c r="DW1070" s="493"/>
      <c r="DX1070" s="493"/>
      <c r="DY1070" s="493"/>
      <c r="DZ1070" s="493"/>
    </row>
    <row r="1071" spans="1:130" hidden="1" outlineLevel="2">
      <c r="A1071" s="438"/>
      <c r="B1071" s="490" t="s">
        <v>63</v>
      </c>
      <c r="C1071" s="398" t="s">
        <v>698</v>
      </c>
      <c r="D1071" s="399" t="s">
        <v>391</v>
      </c>
      <c r="E1071" s="385"/>
      <c r="F1071" s="385"/>
      <c r="G1071" s="385"/>
      <c r="H1071" s="385" t="s">
        <v>1182</v>
      </c>
      <c r="I1071" s="385" t="s">
        <v>1183</v>
      </c>
      <c r="J1071" s="489" t="s">
        <v>365</v>
      </c>
      <c r="K1071" s="412"/>
      <c r="L1071" s="412"/>
      <c r="M1071" s="490" t="s">
        <v>313</v>
      </c>
      <c r="N1071" s="490">
        <v>210</v>
      </c>
    </row>
    <row r="1072" spans="1:130" s="405" customFormat="1" ht="40.5" outlineLevel="1" collapsed="1">
      <c r="A1072" s="489" t="s">
        <v>1451</v>
      </c>
      <c r="B1072" s="490" t="s">
        <v>63</v>
      </c>
      <c r="C1072" s="398" t="s">
        <v>698</v>
      </c>
      <c r="D1072" s="399" t="s">
        <v>391</v>
      </c>
      <c r="E1072" s="490" t="s">
        <v>1539</v>
      </c>
      <c r="F1072" s="385" t="s">
        <v>303</v>
      </c>
      <c r="G1072" s="385"/>
      <c r="H1072" s="401" t="s">
        <v>1184</v>
      </c>
      <c r="I1072" s="385" t="str">
        <f>CONCATENATE(I1073," ","(",H1073,")","-",N1073," ",M1073," ",I1074," ","(",H1074,")","-",N1074," ",M1074)</f>
        <v>Устройство кровли ()-28 м2 Устройство каркаса ()-0,9 м3</v>
      </c>
      <c r="J1072" s="489" t="s">
        <v>365</v>
      </c>
      <c r="K1072" s="450">
        <v>44348</v>
      </c>
      <c r="L1072" s="450">
        <v>44408</v>
      </c>
      <c r="M1072" s="490"/>
      <c r="N1072" s="490"/>
      <c r="O1072" s="493"/>
      <c r="P1072" s="493"/>
      <c r="Q1072" s="493"/>
      <c r="R1072" s="493"/>
      <c r="S1072" s="493"/>
      <c r="T1072" s="493"/>
      <c r="U1072" s="493"/>
      <c r="V1072" s="493"/>
      <c r="W1072" s="493"/>
      <c r="X1072" s="493"/>
      <c r="Y1072" s="493"/>
      <c r="Z1072" s="493"/>
      <c r="AA1072" s="493"/>
      <c r="AB1072" s="493"/>
      <c r="AC1072" s="493"/>
      <c r="AD1072" s="493"/>
      <c r="AE1072" s="493"/>
      <c r="AF1072" s="493"/>
      <c r="AG1072" s="493"/>
      <c r="AH1072" s="493"/>
      <c r="AI1072" s="493"/>
      <c r="AJ1072" s="493"/>
      <c r="AK1072" s="493"/>
      <c r="AL1072" s="493"/>
      <c r="AM1072" s="493"/>
      <c r="AN1072" s="493"/>
      <c r="AO1072" s="493"/>
      <c r="AP1072" s="493"/>
      <c r="AQ1072" s="493"/>
      <c r="AR1072" s="493"/>
      <c r="AS1072" s="493"/>
      <c r="AT1072" s="493"/>
      <c r="AU1072" s="493"/>
      <c r="AV1072" s="493"/>
      <c r="AW1072" s="493"/>
      <c r="AX1072" s="493"/>
      <c r="AY1072" s="493"/>
      <c r="AZ1072" s="493"/>
      <c r="BA1072" s="493"/>
      <c r="BB1072" s="493"/>
      <c r="BC1072" s="493"/>
      <c r="BD1072" s="493"/>
      <c r="BE1072" s="493"/>
      <c r="BF1072" s="493"/>
      <c r="BG1072" s="493"/>
      <c r="BH1072" s="493"/>
      <c r="BI1072" s="493"/>
      <c r="BJ1072" s="493"/>
      <c r="BK1072" s="493"/>
      <c r="BL1072" s="493"/>
      <c r="BM1072" s="493"/>
      <c r="BN1072" s="493"/>
      <c r="BO1072" s="493"/>
      <c r="BP1072" s="493"/>
      <c r="BQ1072" s="493"/>
      <c r="BR1072" s="493"/>
      <c r="BS1072" s="493"/>
      <c r="BT1072" s="493"/>
      <c r="BU1072" s="493"/>
      <c r="BV1072" s="493"/>
      <c r="BW1072" s="493"/>
      <c r="BX1072" s="493"/>
      <c r="BY1072" s="493"/>
      <c r="BZ1072" s="493"/>
      <c r="CA1072" s="493"/>
      <c r="CB1072" s="493"/>
      <c r="CC1072" s="493"/>
      <c r="CD1072" s="493"/>
      <c r="CE1072" s="493"/>
      <c r="CF1072" s="493"/>
      <c r="CG1072" s="493"/>
      <c r="CH1072" s="493"/>
      <c r="CI1072" s="493"/>
      <c r="CJ1072" s="493"/>
      <c r="CK1072" s="493"/>
      <c r="CL1072" s="493"/>
      <c r="CM1072" s="493"/>
      <c r="CN1072" s="493"/>
      <c r="CO1072" s="493"/>
      <c r="CP1072" s="493"/>
      <c r="CQ1072" s="493"/>
      <c r="CR1072" s="493"/>
      <c r="CS1072" s="493"/>
      <c r="CT1072" s="493"/>
      <c r="CU1072" s="493"/>
      <c r="CV1072" s="493"/>
      <c r="CW1072" s="493"/>
      <c r="CX1072" s="493"/>
      <c r="CY1072" s="493"/>
      <c r="CZ1072" s="493"/>
      <c r="DA1072" s="493"/>
      <c r="DB1072" s="493"/>
      <c r="DC1072" s="493"/>
      <c r="DD1072" s="493"/>
      <c r="DE1072" s="493"/>
      <c r="DF1072" s="493"/>
      <c r="DG1072" s="493"/>
      <c r="DH1072" s="493"/>
      <c r="DI1072" s="493"/>
      <c r="DJ1072" s="493"/>
      <c r="DK1072" s="493"/>
      <c r="DL1072" s="493"/>
      <c r="DM1072" s="493"/>
      <c r="DN1072" s="493"/>
      <c r="DO1072" s="493"/>
      <c r="DP1072" s="493"/>
      <c r="DQ1072" s="493"/>
      <c r="DR1072" s="493"/>
      <c r="DS1072" s="493"/>
      <c r="DT1072" s="493"/>
      <c r="DU1072" s="493"/>
      <c r="DV1072" s="493"/>
      <c r="DW1072" s="493"/>
      <c r="DX1072" s="493"/>
      <c r="DY1072" s="493"/>
      <c r="DZ1072" s="493"/>
    </row>
    <row r="1073" spans="1:130" hidden="1" outlineLevel="2">
      <c r="A1073" s="438"/>
      <c r="B1073" s="490" t="s">
        <v>63</v>
      </c>
      <c r="C1073" s="398" t="s">
        <v>698</v>
      </c>
      <c r="D1073" s="399" t="s">
        <v>391</v>
      </c>
      <c r="E1073" s="385"/>
      <c r="F1073" s="385"/>
      <c r="G1073" s="385"/>
      <c r="H1073" s="385"/>
      <c r="I1073" s="385" t="s">
        <v>1183</v>
      </c>
      <c r="J1073" s="489" t="s">
        <v>365</v>
      </c>
      <c r="K1073" s="412"/>
      <c r="L1073" s="412"/>
      <c r="M1073" s="490" t="s">
        <v>313</v>
      </c>
      <c r="N1073" s="490">
        <v>28</v>
      </c>
    </row>
    <row r="1074" spans="1:130" hidden="1" outlineLevel="2">
      <c r="A1074" s="438"/>
      <c r="B1074" s="490" t="s">
        <v>63</v>
      </c>
      <c r="C1074" s="398" t="s">
        <v>698</v>
      </c>
      <c r="D1074" s="399" t="s">
        <v>391</v>
      </c>
      <c r="E1074" s="385"/>
      <c r="F1074" s="385"/>
      <c r="G1074" s="385"/>
      <c r="H1074" s="385"/>
      <c r="I1074" s="385" t="s">
        <v>1185</v>
      </c>
      <c r="J1074" s="489" t="s">
        <v>365</v>
      </c>
      <c r="K1074" s="412"/>
      <c r="L1074" s="412"/>
      <c r="M1074" s="490" t="s">
        <v>1059</v>
      </c>
      <c r="N1074" s="490">
        <v>0.9</v>
      </c>
    </row>
    <row r="1075" spans="1:130" s="405" customFormat="1" ht="40.5" outlineLevel="1" collapsed="1">
      <c r="A1075" s="489" t="s">
        <v>1452</v>
      </c>
      <c r="B1075" s="490" t="s">
        <v>63</v>
      </c>
      <c r="C1075" s="398" t="s">
        <v>698</v>
      </c>
      <c r="D1075" s="399" t="s">
        <v>391</v>
      </c>
      <c r="E1075" s="490" t="s">
        <v>1609</v>
      </c>
      <c r="F1075" s="385" t="s">
        <v>303</v>
      </c>
      <c r="G1075" s="385"/>
      <c r="H1075" s="401" t="s">
        <v>1610</v>
      </c>
      <c r="I1075" s="385" t="str">
        <f>CONCATENATE(I1076," ","(",H1076,")","-",N1076," ",M1076," ",I1077," ","(",H1077,")","-",N1077," ",M1077)</f>
        <v>Устройство кровли ()-28 м2 Устройство каркаса ()-0,9 м3</v>
      </c>
      <c r="J1075" s="489" t="s">
        <v>365</v>
      </c>
      <c r="K1075" s="450">
        <v>44348</v>
      </c>
      <c r="L1075" s="450">
        <v>44408</v>
      </c>
      <c r="M1075" s="490"/>
      <c r="N1075" s="490"/>
      <c r="O1075" s="493"/>
      <c r="P1075" s="493"/>
      <c r="Q1075" s="493"/>
      <c r="R1075" s="493"/>
      <c r="S1075" s="493"/>
      <c r="T1075" s="493"/>
      <c r="U1075" s="493"/>
      <c r="V1075" s="493"/>
      <c r="W1075" s="493"/>
      <c r="X1075" s="493"/>
      <c r="Y1075" s="493"/>
      <c r="Z1075" s="493"/>
      <c r="AA1075" s="493"/>
      <c r="AB1075" s="493"/>
      <c r="AC1075" s="493"/>
      <c r="AD1075" s="493"/>
      <c r="AE1075" s="493"/>
      <c r="AF1075" s="493"/>
      <c r="AG1075" s="493"/>
      <c r="AH1075" s="493"/>
      <c r="AI1075" s="493"/>
      <c r="AJ1075" s="493"/>
      <c r="AK1075" s="493"/>
      <c r="AL1075" s="493"/>
      <c r="AM1075" s="493"/>
      <c r="AN1075" s="493"/>
      <c r="AO1075" s="493"/>
      <c r="AP1075" s="493"/>
      <c r="AQ1075" s="493"/>
      <c r="AR1075" s="493"/>
      <c r="AS1075" s="493"/>
      <c r="AT1075" s="493"/>
      <c r="AU1075" s="493"/>
      <c r="AV1075" s="493"/>
      <c r="AW1075" s="493"/>
      <c r="AX1075" s="493"/>
      <c r="AY1075" s="493"/>
      <c r="AZ1075" s="493"/>
      <c r="BA1075" s="493"/>
      <c r="BB1075" s="493"/>
      <c r="BC1075" s="493"/>
      <c r="BD1075" s="493"/>
      <c r="BE1075" s="493"/>
      <c r="BF1075" s="493"/>
      <c r="BG1075" s="493"/>
      <c r="BH1075" s="493"/>
      <c r="BI1075" s="493"/>
      <c r="BJ1075" s="493"/>
      <c r="BK1075" s="493"/>
      <c r="BL1075" s="493"/>
      <c r="BM1075" s="493"/>
      <c r="BN1075" s="493"/>
      <c r="BO1075" s="493"/>
      <c r="BP1075" s="493"/>
      <c r="BQ1075" s="493"/>
      <c r="BR1075" s="493"/>
      <c r="BS1075" s="493"/>
      <c r="BT1075" s="493"/>
      <c r="BU1075" s="493"/>
      <c r="BV1075" s="493"/>
      <c r="BW1075" s="493"/>
      <c r="BX1075" s="493"/>
      <c r="BY1075" s="493"/>
      <c r="BZ1075" s="493"/>
      <c r="CA1075" s="493"/>
      <c r="CB1075" s="493"/>
      <c r="CC1075" s="493"/>
      <c r="CD1075" s="493"/>
      <c r="CE1075" s="493"/>
      <c r="CF1075" s="493"/>
      <c r="CG1075" s="493"/>
      <c r="CH1075" s="493"/>
      <c r="CI1075" s="493"/>
      <c r="CJ1075" s="493"/>
      <c r="CK1075" s="493"/>
      <c r="CL1075" s="493"/>
      <c r="CM1075" s="493"/>
      <c r="CN1075" s="493"/>
      <c r="CO1075" s="493"/>
      <c r="CP1075" s="493"/>
      <c r="CQ1075" s="493"/>
      <c r="CR1075" s="493"/>
      <c r="CS1075" s="493"/>
      <c r="CT1075" s="493"/>
      <c r="CU1075" s="493"/>
      <c r="CV1075" s="493"/>
      <c r="CW1075" s="493"/>
      <c r="CX1075" s="493"/>
      <c r="CY1075" s="493"/>
      <c r="CZ1075" s="493"/>
      <c r="DA1075" s="493"/>
      <c r="DB1075" s="493"/>
      <c r="DC1075" s="493"/>
      <c r="DD1075" s="493"/>
      <c r="DE1075" s="493"/>
      <c r="DF1075" s="493"/>
      <c r="DG1075" s="493"/>
      <c r="DH1075" s="493"/>
      <c r="DI1075" s="493"/>
      <c r="DJ1075" s="493"/>
      <c r="DK1075" s="493"/>
      <c r="DL1075" s="493"/>
      <c r="DM1075" s="493"/>
      <c r="DN1075" s="493"/>
      <c r="DO1075" s="493"/>
      <c r="DP1075" s="493"/>
      <c r="DQ1075" s="493"/>
      <c r="DR1075" s="493"/>
      <c r="DS1075" s="493"/>
      <c r="DT1075" s="493"/>
      <c r="DU1075" s="493"/>
      <c r="DV1075" s="493"/>
      <c r="DW1075" s="493"/>
      <c r="DX1075" s="493"/>
      <c r="DY1075" s="493"/>
      <c r="DZ1075" s="493"/>
    </row>
    <row r="1076" spans="1:130" hidden="1" outlineLevel="2">
      <c r="A1076" s="438"/>
      <c r="B1076" s="490" t="s">
        <v>63</v>
      </c>
      <c r="C1076" s="398" t="s">
        <v>698</v>
      </c>
      <c r="D1076" s="399" t="s">
        <v>391</v>
      </c>
      <c r="E1076" s="385"/>
      <c r="F1076" s="385"/>
      <c r="G1076" s="385"/>
      <c r="H1076" s="385"/>
      <c r="I1076" s="385" t="s">
        <v>1183</v>
      </c>
      <c r="J1076" s="489" t="s">
        <v>365</v>
      </c>
      <c r="K1076" s="412"/>
      <c r="L1076" s="412"/>
      <c r="M1076" s="490" t="s">
        <v>313</v>
      </c>
      <c r="N1076" s="490">
        <v>28</v>
      </c>
    </row>
    <row r="1077" spans="1:130" hidden="1" outlineLevel="2">
      <c r="A1077" s="438"/>
      <c r="B1077" s="490" t="s">
        <v>63</v>
      </c>
      <c r="C1077" s="398" t="s">
        <v>698</v>
      </c>
      <c r="D1077" s="399" t="s">
        <v>391</v>
      </c>
      <c r="E1077" s="385"/>
      <c r="F1077" s="385"/>
      <c r="G1077" s="385"/>
      <c r="H1077" s="385"/>
      <c r="I1077" s="385" t="s">
        <v>1185</v>
      </c>
      <c r="J1077" s="489" t="s">
        <v>365</v>
      </c>
      <c r="K1077" s="412"/>
      <c r="L1077" s="412"/>
      <c r="M1077" s="490" t="s">
        <v>1059</v>
      </c>
      <c r="N1077" s="490">
        <v>0.9</v>
      </c>
    </row>
    <row r="1078" spans="1:130" s="405" customFormat="1" ht="40.5" outlineLevel="1" collapsed="1">
      <c r="A1078" s="489" t="s">
        <v>1453</v>
      </c>
      <c r="B1078" s="490" t="s">
        <v>63</v>
      </c>
      <c r="C1078" s="398" t="s">
        <v>698</v>
      </c>
      <c r="D1078" s="399" t="s">
        <v>391</v>
      </c>
      <c r="E1078" s="490" t="s">
        <v>1537</v>
      </c>
      <c r="F1078" s="385" t="s">
        <v>303</v>
      </c>
      <c r="G1078" s="385"/>
      <c r="H1078" s="401" t="s">
        <v>1186</v>
      </c>
      <c r="I1078" s="385" t="str">
        <f>CONCATENATE(I1080," ","(",H1080,")","-",N1080," ",M1080," ",I1081," ","(",H1081,")","-",N1081," ",M1081," ",I1079," ","(",H1079,")","-",N1079," ",M1079)</f>
        <v>Замена дверей ()-2 шт Устройство каркаса ()-1,2 м3 Устройство кровли ()-35 м2</v>
      </c>
      <c r="J1078" s="489" t="s">
        <v>365</v>
      </c>
      <c r="K1078" s="450">
        <v>44348</v>
      </c>
      <c r="L1078" s="450">
        <v>44408</v>
      </c>
      <c r="M1078" s="490"/>
      <c r="N1078" s="490"/>
      <c r="O1078" s="493"/>
      <c r="P1078" s="493"/>
      <c r="Q1078" s="493"/>
      <c r="R1078" s="493"/>
      <c r="S1078" s="493"/>
      <c r="T1078" s="493"/>
      <c r="U1078" s="493"/>
      <c r="V1078" s="493"/>
      <c r="W1078" s="493"/>
      <c r="X1078" s="493"/>
      <c r="Y1078" s="493"/>
      <c r="Z1078" s="493"/>
      <c r="AA1078" s="493"/>
      <c r="AB1078" s="493"/>
      <c r="AC1078" s="493"/>
      <c r="AD1078" s="493"/>
      <c r="AE1078" s="493"/>
      <c r="AF1078" s="493"/>
      <c r="AG1078" s="493"/>
      <c r="AH1078" s="493"/>
      <c r="AI1078" s="493"/>
      <c r="AJ1078" s="493"/>
      <c r="AK1078" s="493"/>
      <c r="AL1078" s="493"/>
      <c r="AM1078" s="493"/>
      <c r="AN1078" s="493"/>
      <c r="AO1078" s="493"/>
      <c r="AP1078" s="493"/>
      <c r="AQ1078" s="493"/>
      <c r="AR1078" s="493"/>
      <c r="AS1078" s="493"/>
      <c r="AT1078" s="493"/>
      <c r="AU1078" s="493"/>
      <c r="AV1078" s="493"/>
      <c r="AW1078" s="493"/>
      <c r="AX1078" s="493"/>
      <c r="AY1078" s="493"/>
      <c r="AZ1078" s="493"/>
      <c r="BA1078" s="493"/>
      <c r="BB1078" s="493"/>
      <c r="BC1078" s="493"/>
      <c r="BD1078" s="493"/>
      <c r="BE1078" s="493"/>
      <c r="BF1078" s="493"/>
      <c r="BG1078" s="493"/>
      <c r="BH1078" s="493"/>
      <c r="BI1078" s="493"/>
      <c r="BJ1078" s="493"/>
      <c r="BK1078" s="493"/>
      <c r="BL1078" s="493"/>
      <c r="BM1078" s="493"/>
      <c r="BN1078" s="493"/>
      <c r="BO1078" s="493"/>
      <c r="BP1078" s="493"/>
      <c r="BQ1078" s="493"/>
      <c r="BR1078" s="493"/>
      <c r="BS1078" s="493"/>
      <c r="BT1078" s="493"/>
      <c r="BU1078" s="493"/>
      <c r="BV1078" s="493"/>
      <c r="BW1078" s="493"/>
      <c r="BX1078" s="493"/>
      <c r="BY1078" s="493"/>
      <c r="BZ1078" s="493"/>
      <c r="CA1078" s="493"/>
      <c r="CB1078" s="493"/>
      <c r="CC1078" s="493"/>
      <c r="CD1078" s="493"/>
      <c r="CE1078" s="493"/>
      <c r="CF1078" s="493"/>
      <c r="CG1078" s="493"/>
      <c r="CH1078" s="493"/>
      <c r="CI1078" s="493"/>
      <c r="CJ1078" s="493"/>
      <c r="CK1078" s="493"/>
      <c r="CL1078" s="493"/>
      <c r="CM1078" s="493"/>
      <c r="CN1078" s="493"/>
      <c r="CO1078" s="493"/>
      <c r="CP1078" s="493"/>
      <c r="CQ1078" s="493"/>
      <c r="CR1078" s="493"/>
      <c r="CS1078" s="493"/>
      <c r="CT1078" s="493"/>
      <c r="CU1078" s="493"/>
      <c r="CV1078" s="493"/>
      <c r="CW1078" s="493"/>
      <c r="CX1078" s="493"/>
      <c r="CY1078" s="493"/>
      <c r="CZ1078" s="493"/>
      <c r="DA1078" s="493"/>
      <c r="DB1078" s="493"/>
      <c r="DC1078" s="493"/>
      <c r="DD1078" s="493"/>
      <c r="DE1078" s="493"/>
      <c r="DF1078" s="493"/>
      <c r="DG1078" s="493"/>
      <c r="DH1078" s="493"/>
      <c r="DI1078" s="493"/>
      <c r="DJ1078" s="493"/>
      <c r="DK1078" s="493"/>
      <c r="DL1078" s="493"/>
      <c r="DM1078" s="493"/>
      <c r="DN1078" s="493"/>
      <c r="DO1078" s="493"/>
      <c r="DP1078" s="493"/>
      <c r="DQ1078" s="493"/>
      <c r="DR1078" s="493"/>
      <c r="DS1078" s="493"/>
      <c r="DT1078" s="493"/>
      <c r="DU1078" s="493"/>
      <c r="DV1078" s="493"/>
      <c r="DW1078" s="493"/>
      <c r="DX1078" s="493"/>
      <c r="DY1078" s="493"/>
      <c r="DZ1078" s="493"/>
    </row>
    <row r="1079" spans="1:130" hidden="1" outlineLevel="2">
      <c r="A1079" s="438"/>
      <c r="B1079" s="490" t="s">
        <v>63</v>
      </c>
      <c r="C1079" s="398" t="s">
        <v>698</v>
      </c>
      <c r="D1079" s="399" t="s">
        <v>391</v>
      </c>
      <c r="E1079" s="385"/>
      <c r="F1079" s="385"/>
      <c r="G1079" s="385"/>
      <c r="H1079" s="385"/>
      <c r="I1079" s="385" t="s">
        <v>1183</v>
      </c>
      <c r="J1079" s="489" t="s">
        <v>365</v>
      </c>
      <c r="K1079" s="412"/>
      <c r="L1079" s="412"/>
      <c r="M1079" s="490" t="s">
        <v>313</v>
      </c>
      <c r="N1079" s="490">
        <v>35</v>
      </c>
    </row>
    <row r="1080" spans="1:130" hidden="1" outlineLevel="2">
      <c r="A1080" s="438"/>
      <c r="B1080" s="412" t="s">
        <v>63</v>
      </c>
      <c r="C1080" s="412" t="s">
        <v>578</v>
      </c>
      <c r="D1080" s="401" t="s">
        <v>391</v>
      </c>
      <c r="E1080" s="385"/>
      <c r="F1080" s="400"/>
      <c r="G1080" s="396"/>
      <c r="H1080" s="401"/>
      <c r="I1080" s="385" t="s">
        <v>1187</v>
      </c>
      <c r="J1080" s="489" t="s">
        <v>365</v>
      </c>
      <c r="K1080" s="412"/>
      <c r="L1080" s="412"/>
      <c r="M1080" s="490" t="s">
        <v>813</v>
      </c>
      <c r="N1080" s="490">
        <v>2</v>
      </c>
    </row>
    <row r="1081" spans="1:130" hidden="1" outlineLevel="2">
      <c r="A1081" s="438"/>
      <c r="B1081" s="490" t="s">
        <v>63</v>
      </c>
      <c r="C1081" s="398" t="s">
        <v>698</v>
      </c>
      <c r="D1081" s="399" t="s">
        <v>391</v>
      </c>
      <c r="E1081" s="385"/>
      <c r="F1081" s="385"/>
      <c r="G1081" s="385"/>
      <c r="H1081" s="385"/>
      <c r="I1081" s="385" t="s">
        <v>1185</v>
      </c>
      <c r="J1081" s="489" t="s">
        <v>365</v>
      </c>
      <c r="K1081" s="412"/>
      <c r="L1081" s="412"/>
      <c r="M1081" s="490" t="s">
        <v>1059</v>
      </c>
      <c r="N1081" s="490">
        <v>1.2</v>
      </c>
    </row>
    <row r="1082" spans="1:130" s="405" customFormat="1" ht="40.5" outlineLevel="1" collapsed="1">
      <c r="A1082" s="489" t="s">
        <v>1454</v>
      </c>
      <c r="B1082" s="490" t="s">
        <v>63</v>
      </c>
      <c r="C1082" s="398" t="s">
        <v>408</v>
      </c>
      <c r="D1082" s="399" t="s">
        <v>391</v>
      </c>
      <c r="E1082" s="490" t="s">
        <v>1541</v>
      </c>
      <c r="F1082" s="385" t="s">
        <v>303</v>
      </c>
      <c r="G1082" s="385"/>
      <c r="H1082" s="401" t="s">
        <v>1818</v>
      </c>
      <c r="I1082" s="385" t="str">
        <f>CONCATENATE(I1083," ","(",H1083,")","-",N1083," ",M1083)</f>
        <v>Монтаж дверей ()-16 шт.</v>
      </c>
      <c r="J1082" s="489" t="s">
        <v>365</v>
      </c>
      <c r="K1082" s="450">
        <v>44378</v>
      </c>
      <c r="L1082" s="450">
        <v>44439</v>
      </c>
      <c r="M1082" s="490"/>
      <c r="N1082" s="490"/>
      <c r="O1082" s="493"/>
      <c r="P1082" s="493"/>
      <c r="Q1082" s="493"/>
      <c r="R1082" s="493"/>
      <c r="S1082" s="493"/>
      <c r="T1082" s="493"/>
      <c r="U1082" s="493"/>
      <c r="V1082" s="493"/>
      <c r="W1082" s="493"/>
      <c r="X1082" s="493"/>
      <c r="Y1082" s="493"/>
      <c r="Z1082" s="493"/>
      <c r="AA1082" s="493"/>
      <c r="AB1082" s="493"/>
      <c r="AC1082" s="493"/>
      <c r="AD1082" s="493"/>
      <c r="AE1082" s="493"/>
      <c r="AF1082" s="493"/>
      <c r="AG1082" s="493"/>
      <c r="AH1082" s="493"/>
      <c r="AI1082" s="493"/>
      <c r="AJ1082" s="493"/>
      <c r="AK1082" s="493"/>
      <c r="AL1082" s="493"/>
      <c r="AM1082" s="493"/>
      <c r="AN1082" s="493"/>
      <c r="AO1082" s="493"/>
      <c r="AP1082" s="493"/>
      <c r="AQ1082" s="493"/>
      <c r="AR1082" s="493"/>
      <c r="AS1082" s="493"/>
      <c r="AT1082" s="493"/>
      <c r="AU1082" s="493"/>
      <c r="AV1082" s="493"/>
      <c r="AW1082" s="493"/>
      <c r="AX1082" s="493"/>
      <c r="AY1082" s="493"/>
      <c r="AZ1082" s="493"/>
      <c r="BA1082" s="493"/>
      <c r="BB1082" s="493"/>
      <c r="BC1082" s="493"/>
      <c r="BD1082" s="493"/>
      <c r="BE1082" s="493"/>
      <c r="BF1082" s="493"/>
      <c r="BG1082" s="493"/>
      <c r="BH1082" s="493"/>
      <c r="BI1082" s="493"/>
      <c r="BJ1082" s="493"/>
      <c r="BK1082" s="493"/>
      <c r="BL1082" s="493"/>
      <c r="BM1082" s="493"/>
      <c r="BN1082" s="493"/>
      <c r="BO1082" s="493"/>
      <c r="BP1082" s="493"/>
      <c r="BQ1082" s="493"/>
      <c r="BR1082" s="493"/>
      <c r="BS1082" s="493"/>
      <c r="BT1082" s="493"/>
      <c r="BU1082" s="493"/>
      <c r="BV1082" s="493"/>
      <c r="BW1082" s="493"/>
      <c r="BX1082" s="493"/>
      <c r="BY1082" s="493"/>
      <c r="BZ1082" s="493"/>
      <c r="CA1082" s="493"/>
      <c r="CB1082" s="493"/>
      <c r="CC1082" s="493"/>
      <c r="CD1082" s="493"/>
      <c r="CE1082" s="493"/>
      <c r="CF1082" s="493"/>
      <c r="CG1082" s="493"/>
      <c r="CH1082" s="493"/>
      <c r="CI1082" s="493"/>
      <c r="CJ1082" s="493"/>
      <c r="CK1082" s="493"/>
      <c r="CL1082" s="493"/>
      <c r="CM1082" s="493"/>
      <c r="CN1082" s="493"/>
      <c r="CO1082" s="493"/>
      <c r="CP1082" s="493"/>
      <c r="CQ1082" s="493"/>
      <c r="CR1082" s="493"/>
      <c r="CS1082" s="493"/>
      <c r="CT1082" s="493"/>
      <c r="CU1082" s="493"/>
      <c r="CV1082" s="493"/>
      <c r="CW1082" s="493"/>
      <c r="CX1082" s="493"/>
      <c r="CY1082" s="493"/>
      <c r="CZ1082" s="493"/>
      <c r="DA1082" s="493"/>
      <c r="DB1082" s="493"/>
      <c r="DC1082" s="493"/>
      <c r="DD1082" s="493"/>
      <c r="DE1082" s="493"/>
      <c r="DF1082" s="493"/>
      <c r="DG1082" s="493"/>
      <c r="DH1082" s="493"/>
      <c r="DI1082" s="493"/>
      <c r="DJ1082" s="493"/>
      <c r="DK1082" s="493"/>
      <c r="DL1082" s="493"/>
      <c r="DM1082" s="493"/>
      <c r="DN1082" s="493"/>
      <c r="DO1082" s="493"/>
      <c r="DP1082" s="493"/>
      <c r="DQ1082" s="493"/>
      <c r="DR1082" s="493"/>
      <c r="DS1082" s="493"/>
      <c r="DT1082" s="493"/>
      <c r="DU1082" s="493"/>
      <c r="DV1082" s="493"/>
      <c r="DW1082" s="493"/>
      <c r="DX1082" s="493"/>
      <c r="DY1082" s="493"/>
      <c r="DZ1082" s="493"/>
    </row>
    <row r="1083" spans="1:130" hidden="1" outlineLevel="2">
      <c r="A1083" s="438"/>
      <c r="B1083" s="490" t="s">
        <v>63</v>
      </c>
      <c r="C1083" s="398" t="s">
        <v>408</v>
      </c>
      <c r="D1083" s="399" t="s">
        <v>391</v>
      </c>
      <c r="E1083" s="385"/>
      <c r="F1083" s="385"/>
      <c r="G1083" s="385"/>
      <c r="H1083" s="385"/>
      <c r="I1083" s="385" t="s">
        <v>1538</v>
      </c>
      <c r="J1083" s="489" t="s">
        <v>365</v>
      </c>
      <c r="K1083" s="412"/>
      <c r="L1083" s="412"/>
      <c r="M1083" s="490" t="s">
        <v>37</v>
      </c>
      <c r="N1083" s="490">
        <v>16</v>
      </c>
    </row>
    <row r="1084" spans="1:130" s="405" customFormat="1" ht="40.5" outlineLevel="1" collapsed="1">
      <c r="A1084" s="489" t="s">
        <v>1455</v>
      </c>
      <c r="B1084" s="490" t="s">
        <v>63</v>
      </c>
      <c r="C1084" s="398" t="s">
        <v>698</v>
      </c>
      <c r="D1084" s="399" t="s">
        <v>391</v>
      </c>
      <c r="E1084" s="490" t="s">
        <v>1542</v>
      </c>
      <c r="F1084" s="385" t="s">
        <v>303</v>
      </c>
      <c r="G1084" s="385"/>
      <c r="H1084" s="401" t="s">
        <v>561</v>
      </c>
      <c r="I1084" s="385" t="str">
        <f>CONCATENATE(I1085," ","(",H1085,")","-",N1085," ",M1085)</f>
        <v>Устройство кровли ()-210 м2</v>
      </c>
      <c r="J1084" s="489" t="s">
        <v>365</v>
      </c>
      <c r="K1084" s="450">
        <v>44409</v>
      </c>
      <c r="L1084" s="450">
        <v>44469</v>
      </c>
      <c r="M1084" s="490"/>
      <c r="N1084" s="490"/>
      <c r="O1084" s="493"/>
      <c r="P1084" s="493"/>
      <c r="Q1084" s="493"/>
      <c r="R1084" s="493"/>
      <c r="S1084" s="493"/>
      <c r="T1084" s="493"/>
      <c r="U1084" s="493"/>
      <c r="V1084" s="493"/>
      <c r="W1084" s="493"/>
      <c r="X1084" s="493"/>
      <c r="Y1084" s="493"/>
      <c r="Z1084" s="493"/>
      <c r="AA1084" s="493"/>
      <c r="AB1084" s="493"/>
      <c r="AC1084" s="493"/>
      <c r="AD1084" s="493"/>
      <c r="AE1084" s="493"/>
      <c r="AF1084" s="493"/>
      <c r="AG1084" s="493"/>
      <c r="AH1084" s="493"/>
      <c r="AI1084" s="493"/>
      <c r="AJ1084" s="493"/>
      <c r="AK1084" s="493"/>
      <c r="AL1084" s="493"/>
      <c r="AM1084" s="493"/>
      <c r="AN1084" s="493"/>
      <c r="AO1084" s="493"/>
      <c r="AP1084" s="493"/>
      <c r="AQ1084" s="493"/>
      <c r="AR1084" s="493"/>
      <c r="AS1084" s="493"/>
      <c r="AT1084" s="493"/>
      <c r="AU1084" s="493"/>
      <c r="AV1084" s="493"/>
      <c r="AW1084" s="493"/>
      <c r="AX1084" s="493"/>
      <c r="AY1084" s="493"/>
      <c r="AZ1084" s="493"/>
      <c r="BA1084" s="493"/>
      <c r="BB1084" s="493"/>
      <c r="BC1084" s="493"/>
      <c r="BD1084" s="493"/>
      <c r="BE1084" s="493"/>
      <c r="BF1084" s="493"/>
      <c r="BG1084" s="493"/>
      <c r="BH1084" s="493"/>
      <c r="BI1084" s="493"/>
      <c r="BJ1084" s="493"/>
      <c r="BK1084" s="493"/>
      <c r="BL1084" s="493"/>
      <c r="BM1084" s="493"/>
      <c r="BN1084" s="493"/>
      <c r="BO1084" s="493"/>
      <c r="BP1084" s="493"/>
      <c r="BQ1084" s="493"/>
      <c r="BR1084" s="493"/>
      <c r="BS1084" s="493"/>
      <c r="BT1084" s="493"/>
      <c r="BU1084" s="493"/>
      <c r="BV1084" s="493"/>
      <c r="BW1084" s="493"/>
      <c r="BX1084" s="493"/>
      <c r="BY1084" s="493"/>
      <c r="BZ1084" s="493"/>
      <c r="CA1084" s="493"/>
      <c r="CB1084" s="493"/>
      <c r="CC1084" s="493"/>
      <c r="CD1084" s="493"/>
      <c r="CE1084" s="493"/>
      <c r="CF1084" s="493"/>
      <c r="CG1084" s="493"/>
      <c r="CH1084" s="493"/>
      <c r="CI1084" s="493"/>
      <c r="CJ1084" s="493"/>
      <c r="CK1084" s="493"/>
      <c r="CL1084" s="493"/>
      <c r="CM1084" s="493"/>
      <c r="CN1084" s="493"/>
      <c r="CO1084" s="493"/>
      <c r="CP1084" s="493"/>
      <c r="CQ1084" s="493"/>
      <c r="CR1084" s="493"/>
      <c r="CS1084" s="493"/>
      <c r="CT1084" s="493"/>
      <c r="CU1084" s="493"/>
      <c r="CV1084" s="493"/>
      <c r="CW1084" s="493"/>
      <c r="CX1084" s="493"/>
      <c r="CY1084" s="493"/>
      <c r="CZ1084" s="493"/>
      <c r="DA1084" s="493"/>
      <c r="DB1084" s="493"/>
      <c r="DC1084" s="493"/>
      <c r="DD1084" s="493"/>
      <c r="DE1084" s="493"/>
      <c r="DF1084" s="493"/>
      <c r="DG1084" s="493"/>
      <c r="DH1084" s="493"/>
      <c r="DI1084" s="493"/>
      <c r="DJ1084" s="493"/>
      <c r="DK1084" s="493"/>
      <c r="DL1084" s="493"/>
      <c r="DM1084" s="493"/>
      <c r="DN1084" s="493"/>
      <c r="DO1084" s="493"/>
      <c r="DP1084" s="493"/>
      <c r="DQ1084" s="493"/>
      <c r="DR1084" s="493"/>
      <c r="DS1084" s="493"/>
      <c r="DT1084" s="493"/>
      <c r="DU1084" s="493"/>
      <c r="DV1084" s="493"/>
      <c r="DW1084" s="493"/>
      <c r="DX1084" s="493"/>
      <c r="DY1084" s="493"/>
      <c r="DZ1084" s="493"/>
    </row>
    <row r="1085" spans="1:130" hidden="1" outlineLevel="2">
      <c r="A1085" s="438"/>
      <c r="B1085" s="490" t="s">
        <v>63</v>
      </c>
      <c r="C1085" s="398" t="s">
        <v>698</v>
      </c>
      <c r="D1085" s="399" t="s">
        <v>391</v>
      </c>
      <c r="E1085" s="385"/>
      <c r="F1085" s="385"/>
      <c r="G1085" s="385"/>
      <c r="H1085" s="385"/>
      <c r="I1085" s="385" t="s">
        <v>1183</v>
      </c>
      <c r="J1085" s="489" t="s">
        <v>365</v>
      </c>
      <c r="K1085" s="412"/>
      <c r="L1085" s="412"/>
      <c r="M1085" s="490" t="s">
        <v>313</v>
      </c>
      <c r="N1085" s="490">
        <v>210</v>
      </c>
    </row>
    <row r="1086" spans="1:130" s="384" customFormat="1" ht="88.5" customHeight="1" outlineLevel="1" collapsed="1">
      <c r="A1086" s="412" t="s">
        <v>1456</v>
      </c>
      <c r="B1086" s="490" t="s">
        <v>63</v>
      </c>
      <c r="C1086" s="398" t="s">
        <v>578</v>
      </c>
      <c r="D1086" s="399" t="s">
        <v>391</v>
      </c>
      <c r="E1086" s="399" t="s">
        <v>596</v>
      </c>
      <c r="F1086" s="385" t="s">
        <v>303</v>
      </c>
      <c r="G1086" s="385"/>
      <c r="H1086" s="401" t="s">
        <v>595</v>
      </c>
      <c r="I1086" s="385" t="s">
        <v>1057</v>
      </c>
      <c r="J1086" s="489" t="s">
        <v>365</v>
      </c>
      <c r="K1086" s="450">
        <v>44348</v>
      </c>
      <c r="L1086" s="450">
        <v>44439</v>
      </c>
      <c r="M1086" s="490"/>
      <c r="N1086" s="490"/>
    </row>
    <row r="1087" spans="1:130" hidden="1" outlineLevel="2">
      <c r="A1087" s="563"/>
      <c r="B1087" s="412" t="s">
        <v>63</v>
      </c>
      <c r="C1087" s="412" t="s">
        <v>578</v>
      </c>
      <c r="D1087" s="401" t="s">
        <v>391</v>
      </c>
      <c r="E1087" s="385"/>
      <c r="F1087" s="400"/>
      <c r="G1087" s="396"/>
      <c r="H1087" s="401"/>
      <c r="I1087" s="385" t="s">
        <v>1058</v>
      </c>
      <c r="J1087" s="489" t="s">
        <v>365</v>
      </c>
      <c r="K1087" s="412"/>
      <c r="L1087" s="412"/>
      <c r="M1087" s="490" t="s">
        <v>1059</v>
      </c>
      <c r="N1087" s="490">
        <v>0.46800000000000003</v>
      </c>
    </row>
    <row r="1088" spans="1:130" hidden="1" outlineLevel="2">
      <c r="A1088" s="564"/>
      <c r="B1088" s="412" t="s">
        <v>63</v>
      </c>
      <c r="C1088" s="412" t="s">
        <v>578</v>
      </c>
      <c r="D1088" s="401" t="s">
        <v>391</v>
      </c>
      <c r="E1088" s="385"/>
      <c r="F1088" s="400"/>
      <c r="G1088" s="396"/>
      <c r="H1088" s="401"/>
      <c r="I1088" s="385" t="s">
        <v>1060</v>
      </c>
      <c r="J1088" s="489" t="s">
        <v>365</v>
      </c>
      <c r="K1088" s="412"/>
      <c r="L1088" s="412"/>
      <c r="M1088" s="490" t="s">
        <v>813</v>
      </c>
      <c r="N1088" s="490">
        <v>10</v>
      </c>
    </row>
    <row r="1089" spans="1:14" hidden="1" outlineLevel="2">
      <c r="A1089" s="564"/>
      <c r="B1089" s="412" t="s">
        <v>63</v>
      </c>
      <c r="C1089" s="412" t="s">
        <v>578</v>
      </c>
      <c r="D1089" s="401" t="s">
        <v>391</v>
      </c>
      <c r="E1089" s="385"/>
      <c r="F1089" s="400"/>
      <c r="G1089" s="396"/>
      <c r="H1089" s="401"/>
      <c r="I1089" s="385" t="s">
        <v>1061</v>
      </c>
      <c r="J1089" s="489" t="s">
        <v>365</v>
      </c>
      <c r="K1089" s="412"/>
      <c r="L1089" s="412"/>
      <c r="M1089" s="490" t="s">
        <v>1062</v>
      </c>
      <c r="N1089" s="490">
        <v>131.19999999999999</v>
      </c>
    </row>
    <row r="1090" spans="1:14" hidden="1" outlineLevel="2">
      <c r="A1090" s="564"/>
      <c r="B1090" s="412" t="s">
        <v>63</v>
      </c>
      <c r="C1090" s="412" t="s">
        <v>578</v>
      </c>
      <c r="D1090" s="401" t="s">
        <v>391</v>
      </c>
      <c r="E1090" s="385"/>
      <c r="F1090" s="400"/>
      <c r="G1090" s="396"/>
      <c r="H1090" s="401"/>
      <c r="I1090" s="385" t="s">
        <v>1063</v>
      </c>
      <c r="J1090" s="489" t="s">
        <v>365</v>
      </c>
      <c r="K1090" s="412"/>
      <c r="L1090" s="412"/>
      <c r="M1090" s="490" t="s">
        <v>1064</v>
      </c>
      <c r="N1090" s="490">
        <v>131.19999999999999</v>
      </c>
    </row>
    <row r="1091" spans="1:14" hidden="1" outlineLevel="2">
      <c r="A1091" s="564"/>
      <c r="B1091" s="412" t="s">
        <v>63</v>
      </c>
      <c r="C1091" s="412" t="s">
        <v>578</v>
      </c>
      <c r="D1091" s="401" t="s">
        <v>391</v>
      </c>
      <c r="E1091" s="385"/>
      <c r="F1091" s="400"/>
      <c r="G1091" s="396"/>
      <c r="H1091" s="401"/>
      <c r="I1091" s="385" t="s">
        <v>1065</v>
      </c>
      <c r="J1091" s="489" t="s">
        <v>365</v>
      </c>
      <c r="K1091" s="412"/>
      <c r="L1091" s="412"/>
      <c r="M1091" s="490" t="s">
        <v>813</v>
      </c>
      <c r="N1091" s="490">
        <v>4</v>
      </c>
    </row>
    <row r="1092" spans="1:14" s="384" customFormat="1" ht="40.5" outlineLevel="1" collapsed="1">
      <c r="A1092" s="412" t="s">
        <v>1457</v>
      </c>
      <c r="B1092" s="490" t="s">
        <v>63</v>
      </c>
      <c r="C1092" s="398" t="s">
        <v>578</v>
      </c>
      <c r="D1092" s="399" t="s">
        <v>391</v>
      </c>
      <c r="E1092" s="399" t="s">
        <v>1820</v>
      </c>
      <c r="F1092" s="385" t="s">
        <v>303</v>
      </c>
      <c r="G1092" s="385"/>
      <c r="H1092" s="401" t="s">
        <v>1819</v>
      </c>
      <c r="I1092" s="385" t="s">
        <v>1066</v>
      </c>
      <c r="J1092" s="489" t="s">
        <v>365</v>
      </c>
      <c r="K1092" s="450">
        <v>44409</v>
      </c>
      <c r="L1092" s="450" t="s">
        <v>2332</v>
      </c>
      <c r="M1092" s="490"/>
      <c r="N1092" s="490"/>
    </row>
    <row r="1093" spans="1:14" hidden="1" outlineLevel="2">
      <c r="A1093" s="563"/>
      <c r="B1093" s="412" t="s">
        <v>63</v>
      </c>
      <c r="C1093" s="412" t="s">
        <v>578</v>
      </c>
      <c r="D1093" s="401" t="s">
        <v>391</v>
      </c>
      <c r="E1093" s="385"/>
      <c r="F1093" s="400"/>
      <c r="G1093" s="396"/>
      <c r="H1093" s="401"/>
      <c r="I1093" s="385" t="s">
        <v>1067</v>
      </c>
      <c r="J1093" s="489" t="s">
        <v>365</v>
      </c>
      <c r="K1093" s="412"/>
      <c r="L1093" s="412"/>
      <c r="M1093" s="490" t="s">
        <v>813</v>
      </c>
      <c r="N1093" s="490">
        <v>16</v>
      </c>
    </row>
    <row r="1094" spans="1:14" hidden="1" outlineLevel="2">
      <c r="A1094" s="564"/>
      <c r="B1094" s="412" t="s">
        <v>63</v>
      </c>
      <c r="C1094" s="412" t="s">
        <v>578</v>
      </c>
      <c r="D1094" s="401" t="s">
        <v>391</v>
      </c>
      <c r="E1094" s="385"/>
      <c r="F1094" s="400"/>
      <c r="G1094" s="396"/>
      <c r="H1094" s="401"/>
      <c r="I1094" s="385" t="s">
        <v>1060</v>
      </c>
      <c r="J1094" s="489" t="s">
        <v>365</v>
      </c>
      <c r="K1094" s="412"/>
      <c r="L1094" s="412"/>
      <c r="M1094" s="490" t="s">
        <v>813</v>
      </c>
      <c r="N1094" s="490">
        <v>16</v>
      </c>
    </row>
    <row r="1095" spans="1:14" s="384" customFormat="1" ht="64.5" customHeight="1" outlineLevel="1" collapsed="1">
      <c r="A1095" s="412" t="s">
        <v>1458</v>
      </c>
      <c r="B1095" s="490" t="s">
        <v>63</v>
      </c>
      <c r="C1095" s="398" t="s">
        <v>698</v>
      </c>
      <c r="D1095" s="399" t="s">
        <v>391</v>
      </c>
      <c r="E1095" s="399" t="s">
        <v>1068</v>
      </c>
      <c r="F1095" s="385" t="s">
        <v>303</v>
      </c>
      <c r="G1095" s="385"/>
      <c r="H1095" s="401" t="s">
        <v>1069</v>
      </c>
      <c r="I1095" s="385" t="s">
        <v>1070</v>
      </c>
      <c r="J1095" s="489" t="s">
        <v>365</v>
      </c>
      <c r="K1095" s="450">
        <v>44378</v>
      </c>
      <c r="L1095" s="450">
        <v>44439</v>
      </c>
      <c r="M1095" s="490"/>
      <c r="N1095" s="490"/>
    </row>
    <row r="1096" spans="1:14" hidden="1" outlineLevel="2">
      <c r="A1096" s="563"/>
      <c r="B1096" s="412" t="s">
        <v>63</v>
      </c>
      <c r="C1096" s="412"/>
      <c r="D1096" s="401" t="s">
        <v>391</v>
      </c>
      <c r="E1096" s="385"/>
      <c r="F1096" s="400"/>
      <c r="G1096" s="396"/>
      <c r="H1096" s="401"/>
      <c r="I1096" s="385" t="s">
        <v>1071</v>
      </c>
      <c r="J1096" s="489" t="s">
        <v>365</v>
      </c>
      <c r="K1096" s="412"/>
      <c r="L1096" s="412"/>
      <c r="M1096" s="490" t="s">
        <v>1059</v>
      </c>
      <c r="N1096" s="490">
        <v>4.2</v>
      </c>
    </row>
    <row r="1097" spans="1:14" hidden="1" outlineLevel="2">
      <c r="A1097" s="564"/>
      <c r="B1097" s="412" t="s">
        <v>63</v>
      </c>
      <c r="C1097" s="412"/>
      <c r="D1097" s="401" t="s">
        <v>391</v>
      </c>
      <c r="E1097" s="385"/>
      <c r="F1097" s="400"/>
      <c r="G1097" s="396"/>
      <c r="H1097" s="401"/>
      <c r="I1097" s="385" t="s">
        <v>1072</v>
      </c>
      <c r="J1097" s="489" t="s">
        <v>365</v>
      </c>
      <c r="K1097" s="412"/>
      <c r="L1097" s="412"/>
      <c r="M1097" s="490" t="s">
        <v>1059</v>
      </c>
      <c r="N1097" s="490">
        <v>2</v>
      </c>
    </row>
    <row r="1098" spans="1:14" hidden="1" outlineLevel="2">
      <c r="A1098" s="564"/>
      <c r="B1098" s="412" t="s">
        <v>63</v>
      </c>
      <c r="C1098" s="412"/>
      <c r="D1098" s="401" t="s">
        <v>391</v>
      </c>
      <c r="E1098" s="385"/>
      <c r="F1098" s="408"/>
      <c r="G1098" s="385"/>
      <c r="H1098" s="401"/>
      <c r="I1098" s="385" t="s">
        <v>1073</v>
      </c>
      <c r="J1098" s="489" t="s">
        <v>365</v>
      </c>
      <c r="K1098" s="412"/>
      <c r="L1098" s="412"/>
      <c r="M1098" s="490" t="s">
        <v>313</v>
      </c>
      <c r="N1098" s="490">
        <v>11.96</v>
      </c>
    </row>
    <row r="1099" spans="1:14" hidden="1" outlineLevel="2">
      <c r="A1099" s="565"/>
      <c r="B1099" s="412" t="s">
        <v>63</v>
      </c>
      <c r="C1099" s="412"/>
      <c r="D1099" s="401" t="s">
        <v>391</v>
      </c>
      <c r="E1099" s="385"/>
      <c r="F1099" s="408"/>
      <c r="G1099" s="385"/>
      <c r="H1099" s="401"/>
      <c r="I1099" s="385" t="s">
        <v>1074</v>
      </c>
      <c r="J1099" s="489" t="s">
        <v>365</v>
      </c>
      <c r="K1099" s="412"/>
      <c r="L1099" s="412"/>
      <c r="M1099" s="490" t="s">
        <v>313</v>
      </c>
      <c r="N1099" s="490">
        <v>11.96</v>
      </c>
    </row>
    <row r="1100" spans="1:14" s="384" customFormat="1" ht="40.5" outlineLevel="1" collapsed="1">
      <c r="A1100" s="412" t="s">
        <v>1459</v>
      </c>
      <c r="B1100" s="490" t="s">
        <v>63</v>
      </c>
      <c r="C1100" s="398" t="s">
        <v>698</v>
      </c>
      <c r="D1100" s="399" t="s">
        <v>391</v>
      </c>
      <c r="E1100" s="399" t="s">
        <v>1068</v>
      </c>
      <c r="F1100" s="385" t="s">
        <v>303</v>
      </c>
      <c r="G1100" s="385"/>
      <c r="H1100" s="401" t="s">
        <v>1069</v>
      </c>
      <c r="I1100" s="385" t="s">
        <v>1075</v>
      </c>
      <c r="J1100" s="489" t="s">
        <v>365</v>
      </c>
      <c r="K1100" s="450">
        <v>44317</v>
      </c>
      <c r="L1100" s="450">
        <v>44377</v>
      </c>
      <c r="M1100" s="490"/>
      <c r="N1100" s="490"/>
    </row>
    <row r="1101" spans="1:14" hidden="1" outlineLevel="2">
      <c r="A1101" s="544"/>
      <c r="B1101" s="412" t="s">
        <v>63</v>
      </c>
      <c r="C1101" s="412"/>
      <c r="D1101" s="401" t="s">
        <v>391</v>
      </c>
      <c r="E1101" s="385"/>
      <c r="F1101" s="400"/>
      <c r="G1101" s="396"/>
      <c r="H1101" s="401"/>
      <c r="I1101" s="385" t="s">
        <v>1076</v>
      </c>
      <c r="J1101" s="489" t="s">
        <v>365</v>
      </c>
      <c r="K1101" s="412"/>
      <c r="L1101" s="412"/>
      <c r="M1101" s="490" t="s">
        <v>1064</v>
      </c>
      <c r="N1101" s="490">
        <v>43</v>
      </c>
    </row>
    <row r="1102" spans="1:14" s="384" customFormat="1" ht="40.5" outlineLevel="1" collapsed="1">
      <c r="A1102" s="412" t="s">
        <v>1460</v>
      </c>
      <c r="B1102" s="490" t="s">
        <v>63</v>
      </c>
      <c r="C1102" s="398" t="s">
        <v>946</v>
      </c>
      <c r="D1102" s="399" t="s">
        <v>391</v>
      </c>
      <c r="E1102" s="399" t="s">
        <v>1077</v>
      </c>
      <c r="F1102" s="385" t="s">
        <v>303</v>
      </c>
      <c r="G1102" s="385"/>
      <c r="H1102" s="401" t="s">
        <v>1078</v>
      </c>
      <c r="I1102" s="385" t="s">
        <v>1079</v>
      </c>
      <c r="J1102" s="489" t="s">
        <v>365</v>
      </c>
      <c r="K1102" s="450">
        <v>44317</v>
      </c>
      <c r="L1102" s="450">
        <v>44377</v>
      </c>
      <c r="M1102" s="490"/>
      <c r="N1102" s="490"/>
    </row>
    <row r="1103" spans="1:14" hidden="1" outlineLevel="2">
      <c r="A1103" s="544"/>
      <c r="B1103" s="412" t="s">
        <v>63</v>
      </c>
      <c r="C1103" s="412"/>
      <c r="D1103" s="401" t="s">
        <v>391</v>
      </c>
      <c r="E1103" s="385"/>
      <c r="F1103" s="400"/>
      <c r="G1103" s="396"/>
      <c r="H1103" s="401"/>
      <c r="I1103" s="385" t="s">
        <v>1076</v>
      </c>
      <c r="J1103" s="489" t="s">
        <v>365</v>
      </c>
      <c r="K1103" s="412"/>
      <c r="L1103" s="412"/>
      <c r="M1103" s="490" t="s">
        <v>1064</v>
      </c>
      <c r="N1103" s="490">
        <v>32</v>
      </c>
    </row>
    <row r="1104" spans="1:14" s="384" customFormat="1" ht="40.5" outlineLevel="1" collapsed="1">
      <c r="A1104" s="412" t="s">
        <v>1461</v>
      </c>
      <c r="B1104" s="490" t="s">
        <v>63</v>
      </c>
      <c r="C1104" s="398" t="s">
        <v>698</v>
      </c>
      <c r="D1104" s="399" t="s">
        <v>391</v>
      </c>
      <c r="E1104" s="399" t="s">
        <v>1080</v>
      </c>
      <c r="F1104" s="385" t="s">
        <v>303</v>
      </c>
      <c r="G1104" s="385"/>
      <c r="H1104" s="401" t="s">
        <v>1081</v>
      </c>
      <c r="I1104" s="385" t="s">
        <v>1082</v>
      </c>
      <c r="J1104" s="489" t="s">
        <v>365</v>
      </c>
      <c r="K1104" s="450">
        <v>44317</v>
      </c>
      <c r="L1104" s="450">
        <v>44377</v>
      </c>
      <c r="M1104" s="490"/>
      <c r="N1104" s="490"/>
    </row>
    <row r="1105" spans="1:14" hidden="1" outlineLevel="2">
      <c r="A1105" s="544"/>
      <c r="B1105" s="412" t="s">
        <v>63</v>
      </c>
      <c r="C1105" s="412"/>
      <c r="D1105" s="401" t="s">
        <v>391</v>
      </c>
      <c r="E1105" s="385"/>
      <c r="F1105" s="400"/>
      <c r="G1105" s="396"/>
      <c r="H1105" s="401"/>
      <c r="I1105" s="385" t="s">
        <v>1083</v>
      </c>
      <c r="J1105" s="489" t="s">
        <v>365</v>
      </c>
      <c r="K1105" s="412"/>
      <c r="L1105" s="412"/>
      <c r="M1105" s="490" t="s">
        <v>1064</v>
      </c>
      <c r="N1105" s="490">
        <v>96</v>
      </c>
    </row>
    <row r="1106" spans="1:14" s="384" customFormat="1" ht="60.75" outlineLevel="1" collapsed="1">
      <c r="A1106" s="412" t="s">
        <v>1462</v>
      </c>
      <c r="B1106" s="490" t="s">
        <v>63</v>
      </c>
      <c r="C1106" s="398" t="s">
        <v>408</v>
      </c>
      <c r="D1106" s="399" t="s">
        <v>391</v>
      </c>
      <c r="E1106" s="399" t="s">
        <v>1714</v>
      </c>
      <c r="F1106" s="385" t="s">
        <v>303</v>
      </c>
      <c r="G1106" s="385"/>
      <c r="H1106" s="401" t="s">
        <v>1084</v>
      </c>
      <c r="I1106" s="385" t="s">
        <v>1085</v>
      </c>
      <c r="J1106" s="489" t="s">
        <v>365</v>
      </c>
      <c r="K1106" s="450">
        <v>44378</v>
      </c>
      <c r="L1106" s="450">
        <v>44469</v>
      </c>
      <c r="M1106" s="490"/>
      <c r="N1106" s="490"/>
    </row>
    <row r="1107" spans="1:14" hidden="1" outlineLevel="2">
      <c r="A1107" s="563"/>
      <c r="B1107" s="412" t="s">
        <v>63</v>
      </c>
      <c r="C1107" s="412" t="s">
        <v>408</v>
      </c>
      <c r="D1107" s="401" t="s">
        <v>391</v>
      </c>
      <c r="E1107" s="385"/>
      <c r="F1107" s="400"/>
      <c r="G1107" s="396"/>
      <c r="H1107" s="401"/>
      <c r="I1107" s="385" t="s">
        <v>1086</v>
      </c>
      <c r="J1107" s="489" t="s">
        <v>365</v>
      </c>
      <c r="K1107" s="412"/>
      <c r="L1107" s="412"/>
      <c r="M1107" s="490" t="s">
        <v>313</v>
      </c>
      <c r="N1107" s="490">
        <v>41.5</v>
      </c>
    </row>
    <row r="1108" spans="1:14" hidden="1" outlineLevel="2">
      <c r="A1108" s="564"/>
      <c r="B1108" s="412" t="s">
        <v>63</v>
      </c>
      <c r="C1108" s="412" t="s">
        <v>408</v>
      </c>
      <c r="D1108" s="401" t="s">
        <v>391</v>
      </c>
      <c r="E1108" s="385"/>
      <c r="F1108" s="408"/>
      <c r="G1108" s="385"/>
      <c r="H1108" s="401"/>
      <c r="I1108" s="385" t="s">
        <v>1087</v>
      </c>
      <c r="J1108" s="489" t="s">
        <v>365</v>
      </c>
      <c r="K1108" s="412"/>
      <c r="L1108" s="412"/>
      <c r="M1108" s="490" t="s">
        <v>1059</v>
      </c>
      <c r="N1108" s="490">
        <v>3.67</v>
      </c>
    </row>
    <row r="1109" spans="1:14" hidden="1" outlineLevel="2">
      <c r="A1109" s="565"/>
      <c r="B1109" s="412" t="s">
        <v>63</v>
      </c>
      <c r="C1109" s="412" t="s">
        <v>408</v>
      </c>
      <c r="D1109" s="401" t="s">
        <v>391</v>
      </c>
      <c r="E1109" s="385"/>
      <c r="F1109" s="408"/>
      <c r="G1109" s="385"/>
      <c r="H1109" s="401"/>
      <c r="I1109" s="385" t="s">
        <v>1088</v>
      </c>
      <c r="J1109" s="489" t="s">
        <v>365</v>
      </c>
      <c r="K1109" s="412"/>
      <c r="L1109" s="412"/>
      <c r="M1109" s="490" t="s">
        <v>313</v>
      </c>
      <c r="N1109" s="490">
        <f>7.5+5</f>
        <v>12.5</v>
      </c>
    </row>
    <row r="1110" spans="1:14" s="384" customFormat="1" ht="60.75" outlineLevel="1" collapsed="1">
      <c r="A1110" s="412" t="s">
        <v>1463</v>
      </c>
      <c r="B1110" s="490" t="s">
        <v>63</v>
      </c>
      <c r="C1110" s="398" t="s">
        <v>408</v>
      </c>
      <c r="D1110" s="399" t="s">
        <v>391</v>
      </c>
      <c r="E1110" s="399" t="s">
        <v>1715</v>
      </c>
      <c r="F1110" s="385" t="s">
        <v>303</v>
      </c>
      <c r="G1110" s="385"/>
      <c r="H1110" s="401" t="s">
        <v>1089</v>
      </c>
      <c r="I1110" s="385" t="s">
        <v>1090</v>
      </c>
      <c r="J1110" s="489" t="s">
        <v>365</v>
      </c>
      <c r="K1110" s="450">
        <v>44378</v>
      </c>
      <c r="L1110" s="450">
        <v>44439</v>
      </c>
      <c r="M1110" s="490"/>
      <c r="N1110" s="490"/>
    </row>
    <row r="1111" spans="1:14" hidden="1" outlineLevel="2">
      <c r="A1111" s="563"/>
      <c r="B1111" s="412" t="s">
        <v>63</v>
      </c>
      <c r="C1111" s="412" t="s">
        <v>408</v>
      </c>
      <c r="D1111" s="401" t="s">
        <v>391</v>
      </c>
      <c r="E1111" s="385"/>
      <c r="F1111" s="400"/>
      <c r="G1111" s="396"/>
      <c r="H1111" s="401"/>
      <c r="I1111" s="385" t="s">
        <v>1086</v>
      </c>
      <c r="J1111" s="489" t="s">
        <v>365</v>
      </c>
      <c r="K1111" s="412"/>
      <c r="L1111" s="412"/>
      <c r="M1111" s="490" t="s">
        <v>313</v>
      </c>
      <c r="N1111" s="490">
        <v>63</v>
      </c>
    </row>
    <row r="1112" spans="1:14" hidden="1" outlineLevel="2">
      <c r="A1112" s="564"/>
      <c r="B1112" s="412" t="s">
        <v>63</v>
      </c>
      <c r="C1112" s="412" t="s">
        <v>408</v>
      </c>
      <c r="D1112" s="401" t="s">
        <v>391</v>
      </c>
      <c r="E1112" s="385"/>
      <c r="F1112" s="408"/>
      <c r="G1112" s="385"/>
      <c r="H1112" s="401"/>
      <c r="I1112" s="385" t="s">
        <v>1087</v>
      </c>
      <c r="J1112" s="489" t="s">
        <v>365</v>
      </c>
      <c r="K1112" s="412"/>
      <c r="L1112" s="412"/>
      <c r="M1112" s="490" t="s">
        <v>1059</v>
      </c>
      <c r="N1112" s="490">
        <v>4.59</v>
      </c>
    </row>
    <row r="1113" spans="1:14" hidden="1" outlineLevel="2">
      <c r="A1113" s="564"/>
      <c r="B1113" s="412" t="s">
        <v>63</v>
      </c>
      <c r="C1113" s="412" t="s">
        <v>408</v>
      </c>
      <c r="D1113" s="401" t="s">
        <v>391</v>
      </c>
      <c r="E1113" s="385"/>
      <c r="F1113" s="408"/>
      <c r="G1113" s="385"/>
      <c r="H1113" s="401"/>
      <c r="I1113" s="385" t="s">
        <v>1091</v>
      </c>
      <c r="J1113" s="489" t="s">
        <v>365</v>
      </c>
      <c r="K1113" s="412"/>
      <c r="L1113" s="412"/>
      <c r="M1113" s="490" t="s">
        <v>313</v>
      </c>
      <c r="N1113" s="490">
        <v>7.2</v>
      </c>
    </row>
    <row r="1114" spans="1:14" hidden="1" outlineLevel="2">
      <c r="A1114" s="565"/>
      <c r="B1114" s="412" t="s">
        <v>63</v>
      </c>
      <c r="C1114" s="412" t="s">
        <v>408</v>
      </c>
      <c r="D1114" s="401" t="s">
        <v>391</v>
      </c>
      <c r="E1114" s="385"/>
      <c r="F1114" s="408"/>
      <c r="G1114" s="385"/>
      <c r="H1114" s="401"/>
      <c r="I1114" s="385" t="s">
        <v>1088</v>
      </c>
      <c r="J1114" s="489" t="s">
        <v>365</v>
      </c>
      <c r="K1114" s="412"/>
      <c r="L1114" s="412"/>
      <c r="M1114" s="490" t="s">
        <v>313</v>
      </c>
      <c r="N1114" s="490">
        <v>7.2</v>
      </c>
    </row>
    <row r="1115" spans="1:14" s="384" customFormat="1" ht="60.75" outlineLevel="1" collapsed="1">
      <c r="A1115" s="412" t="s">
        <v>1464</v>
      </c>
      <c r="B1115" s="490" t="s">
        <v>63</v>
      </c>
      <c r="C1115" s="398" t="s">
        <v>408</v>
      </c>
      <c r="D1115" s="399" t="s">
        <v>391</v>
      </c>
      <c r="E1115" s="399" t="s">
        <v>1716</v>
      </c>
      <c r="F1115" s="385" t="s">
        <v>303</v>
      </c>
      <c r="G1115" s="385"/>
      <c r="H1115" s="401" t="s">
        <v>1092</v>
      </c>
      <c r="I1115" s="385" t="s">
        <v>1093</v>
      </c>
      <c r="J1115" s="489" t="s">
        <v>365</v>
      </c>
      <c r="K1115" s="450">
        <v>44409</v>
      </c>
      <c r="L1115" s="450">
        <v>44469</v>
      </c>
      <c r="M1115" s="490"/>
      <c r="N1115" s="490"/>
    </row>
    <row r="1116" spans="1:14" hidden="1" outlineLevel="2">
      <c r="A1116" s="563"/>
      <c r="B1116" s="412" t="s">
        <v>63</v>
      </c>
      <c r="C1116" s="412" t="s">
        <v>408</v>
      </c>
      <c r="D1116" s="401" t="s">
        <v>391</v>
      </c>
      <c r="E1116" s="385"/>
      <c r="F1116" s="400"/>
      <c r="G1116" s="396"/>
      <c r="H1116" s="401"/>
      <c r="I1116" s="385" t="s">
        <v>1086</v>
      </c>
      <c r="J1116" s="489" t="s">
        <v>365</v>
      </c>
      <c r="K1116" s="412"/>
      <c r="L1116" s="412"/>
      <c r="M1116" s="490" t="s">
        <v>313</v>
      </c>
      <c r="N1116" s="490">
        <v>21.84</v>
      </c>
    </row>
    <row r="1117" spans="1:14" hidden="1" outlineLevel="2">
      <c r="A1117" s="564"/>
      <c r="B1117" s="412" t="s">
        <v>63</v>
      </c>
      <c r="C1117" s="412" t="s">
        <v>408</v>
      </c>
      <c r="D1117" s="401" t="s">
        <v>391</v>
      </c>
      <c r="E1117" s="385"/>
      <c r="F1117" s="408"/>
      <c r="G1117" s="385"/>
      <c r="H1117" s="401"/>
      <c r="I1117" s="385" t="s">
        <v>1087</v>
      </c>
      <c r="J1117" s="489" t="s">
        <v>365</v>
      </c>
      <c r="K1117" s="412"/>
      <c r="L1117" s="412"/>
      <c r="M1117" s="490" t="s">
        <v>1059</v>
      </c>
      <c r="N1117" s="490">
        <v>2.4300000000000002</v>
      </c>
    </row>
    <row r="1118" spans="1:14" hidden="1" outlineLevel="2">
      <c r="A1118" s="564"/>
      <c r="B1118" s="412" t="s">
        <v>63</v>
      </c>
      <c r="C1118" s="412" t="s">
        <v>408</v>
      </c>
      <c r="D1118" s="401" t="s">
        <v>391</v>
      </c>
      <c r="E1118" s="385"/>
      <c r="F1118" s="408"/>
      <c r="G1118" s="385"/>
      <c r="H1118" s="401"/>
      <c r="I1118" s="385" t="s">
        <v>1091</v>
      </c>
      <c r="J1118" s="489" t="s">
        <v>365</v>
      </c>
      <c r="K1118" s="412"/>
      <c r="L1118" s="412"/>
      <c r="M1118" s="490" t="s">
        <v>313</v>
      </c>
      <c r="N1118" s="490">
        <v>6</v>
      </c>
    </row>
    <row r="1119" spans="1:14" hidden="1" outlineLevel="2">
      <c r="A1119" s="565"/>
      <c r="B1119" s="412" t="s">
        <v>63</v>
      </c>
      <c r="C1119" s="412" t="s">
        <v>408</v>
      </c>
      <c r="D1119" s="401" t="s">
        <v>391</v>
      </c>
      <c r="E1119" s="385"/>
      <c r="F1119" s="408"/>
      <c r="G1119" s="385"/>
      <c r="H1119" s="401"/>
      <c r="I1119" s="385" t="s">
        <v>1088</v>
      </c>
      <c r="J1119" s="489" t="s">
        <v>365</v>
      </c>
      <c r="K1119" s="412"/>
      <c r="L1119" s="412"/>
      <c r="M1119" s="490" t="s">
        <v>313</v>
      </c>
      <c r="N1119" s="490">
        <v>6</v>
      </c>
    </row>
    <row r="1120" spans="1:14" s="384" customFormat="1" ht="40.5" outlineLevel="1" collapsed="1">
      <c r="A1120" s="412" t="s">
        <v>1465</v>
      </c>
      <c r="B1120" s="490" t="s">
        <v>63</v>
      </c>
      <c r="C1120" s="398" t="s">
        <v>408</v>
      </c>
      <c r="D1120" s="399" t="s">
        <v>391</v>
      </c>
      <c r="E1120" s="399" t="s">
        <v>1094</v>
      </c>
      <c r="F1120" s="385" t="s">
        <v>303</v>
      </c>
      <c r="G1120" s="385"/>
      <c r="H1120" s="401" t="s">
        <v>1095</v>
      </c>
      <c r="I1120" s="385" t="s">
        <v>1096</v>
      </c>
      <c r="J1120" s="489" t="s">
        <v>365</v>
      </c>
      <c r="K1120" s="450">
        <v>44348</v>
      </c>
      <c r="L1120" s="450">
        <v>44408</v>
      </c>
      <c r="M1120" s="490"/>
      <c r="N1120" s="490"/>
    </row>
    <row r="1121" spans="1:14" hidden="1" outlineLevel="2">
      <c r="A1121" s="563"/>
      <c r="B1121" s="412" t="s">
        <v>63</v>
      </c>
      <c r="C1121" s="412" t="s">
        <v>408</v>
      </c>
      <c r="D1121" s="401" t="s">
        <v>391</v>
      </c>
      <c r="E1121" s="385"/>
      <c r="F1121" s="400"/>
      <c r="G1121" s="396"/>
      <c r="H1121" s="401"/>
      <c r="I1121" s="385" t="s">
        <v>1097</v>
      </c>
      <c r="J1121" s="489" t="s">
        <v>365</v>
      </c>
      <c r="K1121" s="412"/>
      <c r="L1121" s="412"/>
      <c r="M1121" s="490" t="s">
        <v>1064</v>
      </c>
      <c r="N1121" s="490">
        <v>106</v>
      </c>
    </row>
    <row r="1122" spans="1:14" hidden="1" outlineLevel="2">
      <c r="A1122" s="565"/>
      <c r="B1122" s="412" t="s">
        <v>63</v>
      </c>
      <c r="C1122" s="412" t="s">
        <v>408</v>
      </c>
      <c r="D1122" s="401" t="s">
        <v>391</v>
      </c>
      <c r="E1122" s="385"/>
      <c r="F1122" s="408"/>
      <c r="G1122" s="385"/>
      <c r="H1122" s="401"/>
      <c r="I1122" s="385" t="s">
        <v>1098</v>
      </c>
      <c r="J1122" s="489" t="s">
        <v>365</v>
      </c>
      <c r="K1122" s="412"/>
      <c r="L1122" s="412"/>
      <c r="M1122" s="490" t="s">
        <v>1064</v>
      </c>
      <c r="N1122" s="490">
        <v>106</v>
      </c>
    </row>
    <row r="1123" spans="1:14" s="384" customFormat="1" ht="40.5" outlineLevel="1" collapsed="1">
      <c r="A1123" s="412" t="s">
        <v>1679</v>
      </c>
      <c r="B1123" s="490" t="s">
        <v>63</v>
      </c>
      <c r="C1123" s="398" t="s">
        <v>408</v>
      </c>
      <c r="D1123" s="399" t="s">
        <v>391</v>
      </c>
      <c r="E1123" s="399" t="s">
        <v>1099</v>
      </c>
      <c r="F1123" s="385" t="s">
        <v>303</v>
      </c>
      <c r="G1123" s="385"/>
      <c r="H1123" s="401" t="s">
        <v>1765</v>
      </c>
      <c r="I1123" s="385" t="s">
        <v>1100</v>
      </c>
      <c r="J1123" s="489" t="s">
        <v>365</v>
      </c>
      <c r="K1123" s="450">
        <v>44378</v>
      </c>
      <c r="L1123" s="450">
        <v>44439</v>
      </c>
      <c r="M1123" s="490"/>
      <c r="N1123" s="490"/>
    </row>
    <row r="1124" spans="1:14" hidden="1" outlineLevel="2">
      <c r="A1124" s="563"/>
      <c r="B1124" s="412" t="s">
        <v>63</v>
      </c>
      <c r="C1124" s="412" t="s">
        <v>408</v>
      </c>
      <c r="D1124" s="401" t="s">
        <v>391</v>
      </c>
      <c r="E1124" s="385"/>
      <c r="F1124" s="400"/>
      <c r="G1124" s="396"/>
      <c r="H1124" s="401"/>
      <c r="I1124" s="385" t="s">
        <v>1097</v>
      </c>
      <c r="J1124" s="489" t="s">
        <v>365</v>
      </c>
      <c r="K1124" s="412"/>
      <c r="L1124" s="412"/>
      <c r="M1124" s="490" t="s">
        <v>1064</v>
      </c>
      <c r="N1124" s="490">
        <v>208</v>
      </c>
    </row>
    <row r="1125" spans="1:14" hidden="1" outlineLevel="2">
      <c r="A1125" s="565"/>
      <c r="B1125" s="412" t="s">
        <v>63</v>
      </c>
      <c r="C1125" s="412" t="s">
        <v>408</v>
      </c>
      <c r="D1125" s="401" t="s">
        <v>391</v>
      </c>
      <c r="E1125" s="385"/>
      <c r="F1125" s="408"/>
      <c r="G1125" s="385"/>
      <c r="H1125" s="401"/>
      <c r="I1125" s="385" t="s">
        <v>1098</v>
      </c>
      <c r="J1125" s="489" t="s">
        <v>365</v>
      </c>
      <c r="K1125" s="412"/>
      <c r="L1125" s="412"/>
      <c r="M1125" s="490" t="s">
        <v>1064</v>
      </c>
      <c r="N1125" s="490">
        <v>208</v>
      </c>
    </row>
    <row r="1126" spans="1:14" s="384" customFormat="1" ht="40.5" outlineLevel="1" collapsed="1">
      <c r="A1126" s="412" t="s">
        <v>1770</v>
      </c>
      <c r="B1126" s="490" t="s">
        <v>63</v>
      </c>
      <c r="C1126" s="398" t="s">
        <v>559</v>
      </c>
      <c r="D1126" s="399" t="s">
        <v>391</v>
      </c>
      <c r="E1126" s="399" t="s">
        <v>1101</v>
      </c>
      <c r="F1126" s="385" t="s">
        <v>303</v>
      </c>
      <c r="G1126" s="385"/>
      <c r="H1126" s="401" t="s">
        <v>1102</v>
      </c>
      <c r="I1126" s="385" t="s">
        <v>1103</v>
      </c>
      <c r="J1126" s="489" t="s">
        <v>365</v>
      </c>
      <c r="K1126" s="450">
        <v>44317</v>
      </c>
      <c r="L1126" s="450">
        <v>44377</v>
      </c>
      <c r="M1126" s="490"/>
      <c r="N1126" s="490"/>
    </row>
    <row r="1127" spans="1:14" hidden="1" outlineLevel="2">
      <c r="A1127" s="475"/>
      <c r="B1127" s="412" t="s">
        <v>63</v>
      </c>
      <c r="C1127" s="412" t="s">
        <v>559</v>
      </c>
      <c r="D1127" s="401" t="s">
        <v>391</v>
      </c>
      <c r="E1127" s="385"/>
      <c r="F1127" s="400"/>
      <c r="G1127" s="396"/>
      <c r="H1127" s="401"/>
      <c r="I1127" s="385" t="s">
        <v>1104</v>
      </c>
      <c r="J1127" s="489" t="s">
        <v>365</v>
      </c>
      <c r="K1127" s="412"/>
      <c r="L1127" s="412"/>
      <c r="M1127" s="490" t="s">
        <v>1064</v>
      </c>
      <c r="N1127" s="490">
        <f>124+50</f>
        <v>174</v>
      </c>
    </row>
    <row r="1128" spans="1:14" s="384" customFormat="1" ht="60.75" outlineLevel="1" collapsed="1">
      <c r="A1128" s="412" t="s">
        <v>1466</v>
      </c>
      <c r="B1128" s="490" t="s">
        <v>63</v>
      </c>
      <c r="C1128" s="398" t="s">
        <v>607</v>
      </c>
      <c r="D1128" s="399" t="s">
        <v>391</v>
      </c>
      <c r="E1128" s="399" t="s">
        <v>1718</v>
      </c>
      <c r="F1128" s="385" t="s">
        <v>303</v>
      </c>
      <c r="G1128" s="385"/>
      <c r="H1128" s="401" t="s">
        <v>3759</v>
      </c>
      <c r="I1128" s="385" t="s">
        <v>1109</v>
      </c>
      <c r="J1128" s="489" t="s">
        <v>365</v>
      </c>
      <c r="K1128" s="450">
        <v>44287</v>
      </c>
      <c r="L1128" s="450">
        <v>44408</v>
      </c>
      <c r="M1128" s="490"/>
      <c r="N1128" s="490"/>
    </row>
    <row r="1129" spans="1:14" hidden="1" outlineLevel="2">
      <c r="A1129" s="563"/>
      <c r="B1129" s="412" t="s">
        <v>63</v>
      </c>
      <c r="C1129" s="412" t="s">
        <v>607</v>
      </c>
      <c r="D1129" s="401" t="s">
        <v>391</v>
      </c>
      <c r="E1129" s="385"/>
      <c r="F1129" s="400"/>
      <c r="G1129" s="396"/>
      <c r="H1129" s="401"/>
      <c r="I1129" s="385" t="s">
        <v>1105</v>
      </c>
      <c r="J1129" s="489" t="s">
        <v>365</v>
      </c>
      <c r="K1129" s="412"/>
      <c r="L1129" s="412"/>
      <c r="M1129" s="490" t="s">
        <v>313</v>
      </c>
      <c r="N1129" s="490">
        <v>20.2</v>
      </c>
    </row>
    <row r="1130" spans="1:14" hidden="1" outlineLevel="2">
      <c r="A1130" s="564"/>
      <c r="B1130" s="412" t="s">
        <v>63</v>
      </c>
      <c r="C1130" s="412" t="s">
        <v>607</v>
      </c>
      <c r="D1130" s="401" t="s">
        <v>391</v>
      </c>
      <c r="E1130" s="385"/>
      <c r="F1130" s="408"/>
      <c r="G1130" s="385"/>
      <c r="H1130" s="401"/>
      <c r="I1130" s="385" t="s">
        <v>1106</v>
      </c>
      <c r="J1130" s="489" t="s">
        <v>365</v>
      </c>
      <c r="K1130" s="412"/>
      <c r="L1130" s="412"/>
      <c r="M1130" s="490" t="s">
        <v>313</v>
      </c>
      <c r="N1130" s="490">
        <v>50.6</v>
      </c>
    </row>
    <row r="1131" spans="1:14" hidden="1" outlineLevel="2">
      <c r="A1131" s="564"/>
      <c r="B1131" s="412" t="s">
        <v>63</v>
      </c>
      <c r="C1131" s="412" t="s">
        <v>607</v>
      </c>
      <c r="D1131" s="401" t="s">
        <v>391</v>
      </c>
      <c r="E1131" s="385"/>
      <c r="F1131" s="408"/>
      <c r="G1131" s="385"/>
      <c r="H1131" s="401"/>
      <c r="I1131" s="385" t="s">
        <v>1110</v>
      </c>
      <c r="J1131" s="489" t="s">
        <v>365</v>
      </c>
      <c r="K1131" s="412"/>
      <c r="L1131" s="412"/>
      <c r="M1131" s="490" t="s">
        <v>313</v>
      </c>
      <c r="N1131" s="490">
        <v>20.2</v>
      </c>
    </row>
    <row r="1132" spans="1:14" hidden="1" outlineLevel="2">
      <c r="A1132" s="565"/>
      <c r="B1132" s="412" t="s">
        <v>63</v>
      </c>
      <c r="C1132" s="412" t="s">
        <v>607</v>
      </c>
      <c r="D1132" s="401" t="s">
        <v>391</v>
      </c>
      <c r="E1132" s="385"/>
      <c r="F1132" s="408"/>
      <c r="G1132" s="385"/>
      <c r="H1132" s="401"/>
      <c r="I1132" s="385" t="s">
        <v>1108</v>
      </c>
      <c r="J1132" s="489" t="s">
        <v>365</v>
      </c>
      <c r="K1132" s="412"/>
      <c r="L1132" s="412"/>
      <c r="M1132" s="490" t="s">
        <v>313</v>
      </c>
      <c r="N1132" s="490">
        <v>2.85</v>
      </c>
    </row>
    <row r="1133" spans="1:14" s="384" customFormat="1" ht="40.5" outlineLevel="1" collapsed="1">
      <c r="A1133" s="412" t="s">
        <v>1680</v>
      </c>
      <c r="B1133" s="490" t="s">
        <v>63</v>
      </c>
      <c r="C1133" s="398" t="s">
        <v>607</v>
      </c>
      <c r="D1133" s="399" t="s">
        <v>391</v>
      </c>
      <c r="E1133" s="399" t="s">
        <v>1718</v>
      </c>
      <c r="F1133" s="385" t="s">
        <v>303</v>
      </c>
      <c r="G1133" s="385"/>
      <c r="H1133" s="401" t="s">
        <v>3761</v>
      </c>
      <c r="I1133" s="385" t="s">
        <v>1111</v>
      </c>
      <c r="J1133" s="489" t="s">
        <v>365</v>
      </c>
      <c r="K1133" s="450">
        <v>44287</v>
      </c>
      <c r="L1133" s="450">
        <v>44408</v>
      </c>
      <c r="M1133" s="490"/>
      <c r="N1133" s="490"/>
    </row>
    <row r="1134" spans="1:14" hidden="1" outlineLevel="2">
      <c r="A1134" s="563"/>
      <c r="B1134" s="412" t="s">
        <v>63</v>
      </c>
      <c r="C1134" s="412" t="s">
        <v>607</v>
      </c>
      <c r="D1134" s="401" t="s">
        <v>391</v>
      </c>
      <c r="E1134" s="385"/>
      <c r="F1134" s="400"/>
      <c r="G1134" s="396"/>
      <c r="H1134" s="401"/>
      <c r="I1134" s="385" t="s">
        <v>1105</v>
      </c>
      <c r="J1134" s="489" t="s">
        <v>365</v>
      </c>
      <c r="K1134" s="412"/>
      <c r="L1134" s="412"/>
      <c r="M1134" s="490" t="s">
        <v>313</v>
      </c>
      <c r="N1134" s="490">
        <v>19.260000000000002</v>
      </c>
    </row>
    <row r="1135" spans="1:14" hidden="1" outlineLevel="2">
      <c r="A1135" s="564"/>
      <c r="B1135" s="412" t="s">
        <v>63</v>
      </c>
      <c r="C1135" s="412" t="s">
        <v>607</v>
      </c>
      <c r="D1135" s="401" t="s">
        <v>391</v>
      </c>
      <c r="E1135" s="385"/>
      <c r="F1135" s="408"/>
      <c r="G1135" s="385"/>
      <c r="H1135" s="401"/>
      <c r="I1135" s="385" t="s">
        <v>1106</v>
      </c>
      <c r="J1135" s="489" t="s">
        <v>365</v>
      </c>
      <c r="K1135" s="412"/>
      <c r="L1135" s="412"/>
      <c r="M1135" s="490" t="s">
        <v>313</v>
      </c>
      <c r="N1135" s="490">
        <v>50.5</v>
      </c>
    </row>
    <row r="1136" spans="1:14" hidden="1" outlineLevel="2">
      <c r="A1136" s="565"/>
      <c r="B1136" s="412" t="s">
        <v>63</v>
      </c>
      <c r="C1136" s="412" t="s">
        <v>607</v>
      </c>
      <c r="D1136" s="401" t="s">
        <v>391</v>
      </c>
      <c r="E1136" s="385"/>
      <c r="F1136" s="408"/>
      <c r="G1136" s="385"/>
      <c r="H1136" s="401"/>
      <c r="I1136" s="385" t="s">
        <v>1110</v>
      </c>
      <c r="J1136" s="489" t="s">
        <v>365</v>
      </c>
      <c r="K1136" s="412"/>
      <c r="L1136" s="412"/>
      <c r="M1136" s="490" t="s">
        <v>313</v>
      </c>
      <c r="N1136" s="490">
        <v>19.260000000000002</v>
      </c>
    </row>
    <row r="1137" spans="1:14" s="384" customFormat="1" ht="60.75" outlineLevel="1" collapsed="1">
      <c r="A1137" s="412" t="s">
        <v>1467</v>
      </c>
      <c r="B1137" s="490" t="s">
        <v>63</v>
      </c>
      <c r="C1137" s="398" t="s">
        <v>607</v>
      </c>
      <c r="D1137" s="399" t="s">
        <v>391</v>
      </c>
      <c r="E1137" s="399" t="s">
        <v>1718</v>
      </c>
      <c r="F1137" s="385" t="s">
        <v>303</v>
      </c>
      <c r="G1137" s="385"/>
      <c r="H1137" s="401" t="s">
        <v>3762</v>
      </c>
      <c r="I1137" s="385" t="s">
        <v>1112</v>
      </c>
      <c r="J1137" s="489" t="s">
        <v>365</v>
      </c>
      <c r="K1137" s="450">
        <v>44287</v>
      </c>
      <c r="L1137" s="450">
        <v>44408</v>
      </c>
      <c r="M1137" s="490"/>
      <c r="N1137" s="490"/>
    </row>
    <row r="1138" spans="1:14" hidden="1" outlineLevel="2">
      <c r="A1138" s="563"/>
      <c r="B1138" s="412" t="s">
        <v>63</v>
      </c>
      <c r="C1138" s="412" t="s">
        <v>607</v>
      </c>
      <c r="D1138" s="401" t="s">
        <v>391</v>
      </c>
      <c r="E1138" s="385"/>
      <c r="F1138" s="400"/>
      <c r="G1138" s="396"/>
      <c r="H1138" s="401"/>
      <c r="I1138" s="385" t="s">
        <v>1105</v>
      </c>
      <c r="J1138" s="489" t="s">
        <v>365</v>
      </c>
      <c r="K1138" s="412"/>
      <c r="L1138" s="412"/>
      <c r="M1138" s="490" t="s">
        <v>313</v>
      </c>
      <c r="N1138" s="490">
        <v>15.8</v>
      </c>
    </row>
    <row r="1139" spans="1:14" hidden="1" outlineLevel="2">
      <c r="A1139" s="564"/>
      <c r="B1139" s="412" t="s">
        <v>63</v>
      </c>
      <c r="C1139" s="412" t="s">
        <v>607</v>
      </c>
      <c r="D1139" s="401" t="s">
        <v>391</v>
      </c>
      <c r="E1139" s="385"/>
      <c r="F1139" s="408"/>
      <c r="G1139" s="385"/>
      <c r="H1139" s="401"/>
      <c r="I1139" s="385" t="s">
        <v>1106</v>
      </c>
      <c r="J1139" s="489" t="s">
        <v>365</v>
      </c>
      <c r="K1139" s="412"/>
      <c r="L1139" s="412"/>
      <c r="M1139" s="490" t="s">
        <v>313</v>
      </c>
      <c r="N1139" s="490">
        <v>46.5</v>
      </c>
    </row>
    <row r="1140" spans="1:14" hidden="1" outlineLevel="2">
      <c r="A1140" s="564"/>
      <c r="B1140" s="412" t="s">
        <v>63</v>
      </c>
      <c r="C1140" s="412" t="s">
        <v>607</v>
      </c>
      <c r="D1140" s="401" t="s">
        <v>391</v>
      </c>
      <c r="E1140" s="385"/>
      <c r="F1140" s="408"/>
      <c r="G1140" s="385"/>
      <c r="H1140" s="401"/>
      <c r="I1140" s="385" t="s">
        <v>1110</v>
      </c>
      <c r="J1140" s="489" t="s">
        <v>365</v>
      </c>
      <c r="K1140" s="412"/>
      <c r="L1140" s="412"/>
      <c r="M1140" s="490" t="s">
        <v>313</v>
      </c>
      <c r="N1140" s="490">
        <v>15.8</v>
      </c>
    </row>
    <row r="1141" spans="1:14" hidden="1" outlineLevel="2">
      <c r="A1141" s="565"/>
      <c r="B1141" s="412" t="s">
        <v>63</v>
      </c>
      <c r="C1141" s="412" t="s">
        <v>607</v>
      </c>
      <c r="D1141" s="401" t="s">
        <v>391</v>
      </c>
      <c r="E1141" s="385"/>
      <c r="F1141" s="408"/>
      <c r="G1141" s="385"/>
      <c r="H1141" s="401"/>
      <c r="I1141" s="385" t="s">
        <v>1108</v>
      </c>
      <c r="J1141" s="489" t="s">
        <v>365</v>
      </c>
      <c r="K1141" s="412"/>
      <c r="L1141" s="412"/>
      <c r="M1141" s="490" t="s">
        <v>313</v>
      </c>
      <c r="N1141" s="490">
        <v>2.85</v>
      </c>
    </row>
    <row r="1142" spans="1:14" s="384" customFormat="1" ht="40.5" hidden="1" outlineLevel="1">
      <c r="A1142" s="412" t="s">
        <v>1468</v>
      </c>
      <c r="B1142" s="490" t="s">
        <v>63</v>
      </c>
      <c r="C1142" s="398" t="s">
        <v>607</v>
      </c>
      <c r="D1142" s="399" t="s">
        <v>391</v>
      </c>
      <c r="E1142" s="399" t="s">
        <v>1718</v>
      </c>
      <c r="F1142" s="385" t="s">
        <v>303</v>
      </c>
      <c r="G1142" s="385"/>
      <c r="H1142" s="401" t="s">
        <v>3760</v>
      </c>
      <c r="I1142" s="385" t="s">
        <v>1113</v>
      </c>
      <c r="J1142" s="489" t="s">
        <v>365</v>
      </c>
      <c r="K1142" s="450">
        <v>44287</v>
      </c>
      <c r="L1142" s="450">
        <v>44408</v>
      </c>
      <c r="M1142" s="490"/>
      <c r="N1142" s="490"/>
    </row>
    <row r="1143" spans="1:14" hidden="1" outlineLevel="2">
      <c r="A1143" s="563"/>
      <c r="B1143" s="412" t="s">
        <v>63</v>
      </c>
      <c r="C1143" s="412" t="s">
        <v>607</v>
      </c>
      <c r="D1143" s="401" t="s">
        <v>391</v>
      </c>
      <c r="E1143" s="385"/>
      <c r="F1143" s="400"/>
      <c r="G1143" s="396"/>
      <c r="H1143" s="401"/>
      <c r="I1143" s="385" t="s">
        <v>1105</v>
      </c>
      <c r="J1143" s="489" t="s">
        <v>365</v>
      </c>
      <c r="K1143" s="412"/>
      <c r="L1143" s="412"/>
      <c r="M1143" s="490" t="s">
        <v>313</v>
      </c>
      <c r="N1143" s="490">
        <v>19.98</v>
      </c>
    </row>
    <row r="1144" spans="1:14" hidden="1" outlineLevel="2">
      <c r="A1144" s="564"/>
      <c r="B1144" s="412" t="s">
        <v>63</v>
      </c>
      <c r="C1144" s="412" t="s">
        <v>607</v>
      </c>
      <c r="D1144" s="401" t="s">
        <v>391</v>
      </c>
      <c r="E1144" s="385"/>
      <c r="F1144" s="408"/>
      <c r="G1144" s="385"/>
      <c r="H1144" s="401"/>
      <c r="I1144" s="385" t="s">
        <v>1106</v>
      </c>
      <c r="J1144" s="489" t="s">
        <v>365</v>
      </c>
      <c r="K1144" s="412"/>
      <c r="L1144" s="412"/>
      <c r="M1144" s="490" t="s">
        <v>313</v>
      </c>
      <c r="N1144" s="490">
        <v>49.6</v>
      </c>
    </row>
    <row r="1145" spans="1:14" hidden="1" outlineLevel="2">
      <c r="A1145" s="565"/>
      <c r="B1145" s="412" t="s">
        <v>63</v>
      </c>
      <c r="C1145" s="412" t="s">
        <v>607</v>
      </c>
      <c r="D1145" s="401" t="s">
        <v>391</v>
      </c>
      <c r="E1145" s="385"/>
      <c r="F1145" s="408"/>
      <c r="G1145" s="385"/>
      <c r="H1145" s="401"/>
      <c r="I1145" s="385" t="s">
        <v>1107</v>
      </c>
      <c r="J1145" s="489" t="s">
        <v>365</v>
      </c>
      <c r="K1145" s="412"/>
      <c r="L1145" s="412"/>
      <c r="M1145" s="490" t="s">
        <v>313</v>
      </c>
      <c r="N1145" s="490">
        <v>19.98</v>
      </c>
    </row>
    <row r="1146" spans="1:14" s="384" customFormat="1" ht="36" hidden="1" customHeight="1" outlineLevel="1" collapsed="1">
      <c r="A1146" s="412" t="s">
        <v>1469</v>
      </c>
      <c r="B1146" s="490" t="s">
        <v>63</v>
      </c>
      <c r="C1146" s="398" t="s">
        <v>520</v>
      </c>
      <c r="D1146" s="399" t="s">
        <v>391</v>
      </c>
      <c r="E1146" s="399" t="s">
        <v>1717</v>
      </c>
      <c r="F1146" s="385" t="s">
        <v>303</v>
      </c>
      <c r="G1146" s="385"/>
      <c r="H1146" s="401" t="s">
        <v>1114</v>
      </c>
      <c r="I1146" s="385" t="s">
        <v>1115</v>
      </c>
      <c r="J1146" s="489" t="s">
        <v>365</v>
      </c>
      <c r="K1146" s="450">
        <v>44348</v>
      </c>
      <c r="L1146" s="450">
        <v>44500</v>
      </c>
      <c r="M1146" s="490"/>
      <c r="N1146" s="490"/>
    </row>
    <row r="1147" spans="1:14" hidden="1" outlineLevel="2">
      <c r="A1147" s="545"/>
      <c r="B1147" s="412" t="s">
        <v>63</v>
      </c>
      <c r="C1147" s="412" t="s">
        <v>520</v>
      </c>
      <c r="D1147" s="401" t="s">
        <v>391</v>
      </c>
      <c r="E1147" s="385"/>
      <c r="F1147" s="408"/>
      <c r="G1147" s="385"/>
      <c r="H1147" s="401"/>
      <c r="I1147" s="385" t="s">
        <v>1107</v>
      </c>
      <c r="J1147" s="489" t="s">
        <v>365</v>
      </c>
      <c r="K1147" s="412"/>
      <c r="L1147" s="412"/>
      <c r="M1147" s="490" t="s">
        <v>313</v>
      </c>
      <c r="N1147" s="490">
        <v>22.7</v>
      </c>
    </row>
    <row r="1148" spans="1:14" s="384" customFormat="1" ht="40.5" outlineLevel="1" collapsed="1">
      <c r="A1148" s="412" t="s">
        <v>1771</v>
      </c>
      <c r="B1148" s="490" t="s">
        <v>63</v>
      </c>
      <c r="C1148" s="398" t="s">
        <v>520</v>
      </c>
      <c r="D1148" s="399" t="s">
        <v>391</v>
      </c>
      <c r="E1148" s="399" t="s">
        <v>1717</v>
      </c>
      <c r="F1148" s="385" t="s">
        <v>303</v>
      </c>
      <c r="G1148" s="385"/>
      <c r="H1148" s="401" t="s">
        <v>1116</v>
      </c>
      <c r="I1148" s="385" t="s">
        <v>1117</v>
      </c>
      <c r="J1148" s="489" t="s">
        <v>365</v>
      </c>
      <c r="K1148" s="450">
        <v>44348</v>
      </c>
      <c r="L1148" s="450">
        <v>44500</v>
      </c>
      <c r="M1148" s="490"/>
      <c r="N1148" s="490"/>
    </row>
    <row r="1149" spans="1:14" hidden="1" outlineLevel="2">
      <c r="A1149" s="563"/>
      <c r="B1149" s="412" t="s">
        <v>63</v>
      </c>
      <c r="C1149" s="412" t="s">
        <v>520</v>
      </c>
      <c r="D1149" s="401" t="s">
        <v>391</v>
      </c>
      <c r="E1149" s="385"/>
      <c r="F1149" s="408"/>
      <c r="G1149" s="385"/>
      <c r="H1149" s="401"/>
      <c r="I1149" s="385" t="s">
        <v>1105</v>
      </c>
      <c r="J1149" s="489" t="s">
        <v>365</v>
      </c>
      <c r="K1149" s="412"/>
      <c r="L1149" s="412"/>
      <c r="M1149" s="490" t="s">
        <v>313</v>
      </c>
      <c r="N1149" s="490">
        <v>11.63</v>
      </c>
    </row>
    <row r="1150" spans="1:14" hidden="1" outlineLevel="2">
      <c r="A1150" s="564"/>
      <c r="B1150" s="412" t="s">
        <v>63</v>
      </c>
      <c r="C1150" s="412" t="s">
        <v>520</v>
      </c>
      <c r="D1150" s="401" t="s">
        <v>391</v>
      </c>
      <c r="E1150" s="385"/>
      <c r="F1150" s="408"/>
      <c r="G1150" s="385"/>
      <c r="H1150" s="401"/>
      <c r="I1150" s="385" t="s">
        <v>1110</v>
      </c>
      <c r="J1150" s="489" t="s">
        <v>365</v>
      </c>
      <c r="K1150" s="412"/>
      <c r="L1150" s="412"/>
      <c r="M1150" s="490" t="s">
        <v>313</v>
      </c>
      <c r="N1150" s="490">
        <v>11.6</v>
      </c>
    </row>
    <row r="1151" spans="1:14" hidden="1" outlineLevel="2">
      <c r="A1151" s="565"/>
      <c r="B1151" s="412" t="s">
        <v>63</v>
      </c>
      <c r="C1151" s="412" t="s">
        <v>520</v>
      </c>
      <c r="D1151" s="401" t="s">
        <v>391</v>
      </c>
      <c r="E1151" s="385"/>
      <c r="F1151" s="408"/>
      <c r="G1151" s="385"/>
      <c r="H1151" s="401"/>
      <c r="I1151" s="385" t="s">
        <v>1106</v>
      </c>
      <c r="J1151" s="489" t="s">
        <v>365</v>
      </c>
      <c r="K1151" s="412"/>
      <c r="L1151" s="412"/>
      <c r="M1151" s="490" t="s">
        <v>313</v>
      </c>
      <c r="N1151" s="490">
        <v>41.3</v>
      </c>
    </row>
    <row r="1152" spans="1:14" s="384" customFormat="1" ht="40.5" outlineLevel="1" collapsed="1">
      <c r="A1152" s="412" t="s">
        <v>1772</v>
      </c>
      <c r="B1152" s="490" t="s">
        <v>63</v>
      </c>
      <c r="C1152" s="398" t="s">
        <v>520</v>
      </c>
      <c r="D1152" s="399" t="s">
        <v>391</v>
      </c>
      <c r="E1152" s="399" t="s">
        <v>1717</v>
      </c>
      <c r="F1152" s="385" t="s">
        <v>303</v>
      </c>
      <c r="G1152" s="385"/>
      <c r="H1152" s="401" t="s">
        <v>1118</v>
      </c>
      <c r="I1152" s="385" t="s">
        <v>1119</v>
      </c>
      <c r="J1152" s="489" t="s">
        <v>365</v>
      </c>
      <c r="K1152" s="450">
        <v>44378</v>
      </c>
      <c r="L1152" s="450">
        <v>44500</v>
      </c>
      <c r="M1152" s="490"/>
      <c r="N1152" s="490"/>
    </row>
    <row r="1153" spans="1:130" hidden="1" outlineLevel="2">
      <c r="A1153" s="563"/>
      <c r="B1153" s="412" t="s">
        <v>63</v>
      </c>
      <c r="C1153" s="412" t="s">
        <v>520</v>
      </c>
      <c r="D1153" s="401" t="s">
        <v>391</v>
      </c>
      <c r="E1153" s="385"/>
      <c r="F1153" s="408"/>
      <c r="G1153" s="385"/>
      <c r="H1153" s="401"/>
      <c r="I1153" s="385" t="s">
        <v>1105</v>
      </c>
      <c r="J1153" s="489" t="s">
        <v>365</v>
      </c>
      <c r="K1153" s="412"/>
      <c r="L1153" s="412"/>
      <c r="M1153" s="490" t="s">
        <v>313</v>
      </c>
      <c r="N1153" s="490">
        <v>67</v>
      </c>
    </row>
    <row r="1154" spans="1:130" hidden="1" outlineLevel="2">
      <c r="A1154" s="564"/>
      <c r="B1154" s="412" t="s">
        <v>63</v>
      </c>
      <c r="C1154" s="412" t="s">
        <v>520</v>
      </c>
      <c r="D1154" s="401" t="s">
        <v>391</v>
      </c>
      <c r="E1154" s="385"/>
      <c r="F1154" s="408"/>
      <c r="G1154" s="385"/>
      <c r="H1154" s="401"/>
      <c r="I1154" s="385" t="s">
        <v>1110</v>
      </c>
      <c r="J1154" s="489" t="s">
        <v>365</v>
      </c>
      <c r="K1154" s="412"/>
      <c r="L1154" s="412"/>
      <c r="M1154" s="490" t="s">
        <v>313</v>
      </c>
      <c r="N1154" s="490">
        <v>67</v>
      </c>
    </row>
    <row r="1155" spans="1:130" hidden="1" outlineLevel="2">
      <c r="A1155" s="565"/>
      <c r="B1155" s="412" t="s">
        <v>63</v>
      </c>
      <c r="C1155" s="412" t="s">
        <v>520</v>
      </c>
      <c r="D1155" s="401" t="s">
        <v>391</v>
      </c>
      <c r="E1155" s="385"/>
      <c r="F1155" s="408"/>
      <c r="G1155" s="385"/>
      <c r="H1155" s="401"/>
      <c r="I1155" s="385" t="s">
        <v>1106</v>
      </c>
      <c r="J1155" s="489" t="s">
        <v>365</v>
      </c>
      <c r="K1155" s="412"/>
      <c r="L1155" s="412"/>
      <c r="M1155" s="490" t="s">
        <v>313</v>
      </c>
      <c r="N1155" s="490">
        <v>88.2</v>
      </c>
    </row>
    <row r="1156" spans="1:130" s="384" customFormat="1" ht="40.5" outlineLevel="1" collapsed="1">
      <c r="A1156" s="412" t="s">
        <v>1773</v>
      </c>
      <c r="B1156" s="490" t="s">
        <v>63</v>
      </c>
      <c r="C1156" s="398" t="s">
        <v>408</v>
      </c>
      <c r="D1156" s="399" t="s">
        <v>391</v>
      </c>
      <c r="E1156" s="399" t="s">
        <v>1596</v>
      </c>
      <c r="F1156" s="385" t="s">
        <v>303</v>
      </c>
      <c r="G1156" s="385"/>
      <c r="H1156" s="401" t="s">
        <v>1821</v>
      </c>
      <c r="I1156" s="385" t="s">
        <v>1597</v>
      </c>
      <c r="J1156" s="489" t="s">
        <v>365</v>
      </c>
      <c r="K1156" s="450">
        <v>44378</v>
      </c>
      <c r="L1156" s="450">
        <v>44469</v>
      </c>
      <c r="M1156" s="490"/>
      <c r="N1156" s="490"/>
    </row>
    <row r="1157" spans="1:130" hidden="1" outlineLevel="2">
      <c r="A1157" s="563"/>
      <c r="B1157" s="412" t="s">
        <v>63</v>
      </c>
      <c r="C1157" s="412" t="s">
        <v>408</v>
      </c>
      <c r="D1157" s="401" t="s">
        <v>391</v>
      </c>
      <c r="E1157" s="385"/>
      <c r="F1157" s="400"/>
      <c r="G1157" s="396"/>
      <c r="H1157" s="401"/>
      <c r="I1157" s="385" t="s">
        <v>1097</v>
      </c>
      <c r="J1157" s="489" t="s">
        <v>365</v>
      </c>
      <c r="K1157" s="412"/>
      <c r="L1157" s="412"/>
      <c r="M1157" s="490" t="s">
        <v>1064</v>
      </c>
      <c r="N1157" s="490">
        <v>100</v>
      </c>
    </row>
    <row r="1158" spans="1:130" hidden="1" outlineLevel="2">
      <c r="A1158" s="565"/>
      <c r="B1158" s="412" t="s">
        <v>63</v>
      </c>
      <c r="C1158" s="412" t="s">
        <v>408</v>
      </c>
      <c r="D1158" s="401" t="s">
        <v>391</v>
      </c>
      <c r="E1158" s="385"/>
      <c r="F1158" s="408"/>
      <c r="G1158" s="385"/>
      <c r="H1158" s="401"/>
      <c r="I1158" s="385" t="s">
        <v>1098</v>
      </c>
      <c r="J1158" s="489" t="s">
        <v>365</v>
      </c>
      <c r="K1158" s="412"/>
      <c r="L1158" s="412"/>
      <c r="M1158" s="490" t="s">
        <v>1064</v>
      </c>
      <c r="N1158" s="490">
        <v>100</v>
      </c>
    </row>
    <row r="1159" spans="1:130" s="384" customFormat="1" ht="40.5" outlineLevel="1" collapsed="1">
      <c r="A1159" s="412" t="s">
        <v>3394</v>
      </c>
      <c r="B1159" s="490" t="s">
        <v>63</v>
      </c>
      <c r="C1159" s="398" t="s">
        <v>578</v>
      </c>
      <c r="D1159" s="399" t="s">
        <v>391</v>
      </c>
      <c r="E1159" s="399" t="s">
        <v>3395</v>
      </c>
      <c r="F1159" s="385" t="s">
        <v>303</v>
      </c>
      <c r="G1159" s="385"/>
      <c r="H1159" s="401" t="s">
        <v>3763</v>
      </c>
      <c r="I1159" s="385" t="s">
        <v>3396</v>
      </c>
      <c r="J1159" s="489" t="s">
        <v>365</v>
      </c>
      <c r="K1159" s="450">
        <v>44440</v>
      </c>
      <c r="L1159" s="450">
        <v>44530</v>
      </c>
      <c r="M1159" s="490"/>
      <c r="N1159" s="490"/>
    </row>
    <row r="1160" spans="1:130" hidden="1" outlineLevel="2">
      <c r="A1160" s="546"/>
      <c r="B1160" s="412" t="s">
        <v>63</v>
      </c>
      <c r="C1160" s="412" t="s">
        <v>578</v>
      </c>
      <c r="D1160" s="401" t="s">
        <v>391</v>
      </c>
      <c r="E1160" s="385"/>
      <c r="F1160" s="400"/>
      <c r="G1160" s="396"/>
      <c r="H1160" s="401"/>
      <c r="I1160" s="385" t="s">
        <v>1105</v>
      </c>
      <c r="J1160" s="489" t="s">
        <v>365</v>
      </c>
      <c r="K1160" s="412"/>
      <c r="L1160" s="412"/>
      <c r="M1160" s="490" t="s">
        <v>313</v>
      </c>
      <c r="N1160" s="490">
        <v>25.08</v>
      </c>
    </row>
    <row r="1161" spans="1:130" s="384" customFormat="1" outlineLevel="1" collapsed="1">
      <c r="A1161" s="489" t="s">
        <v>3689</v>
      </c>
      <c r="B1161" s="490"/>
      <c r="C1161" s="399"/>
      <c r="D1161" s="399" t="s">
        <v>391</v>
      </c>
      <c r="E1161" s="385"/>
      <c r="F1161" s="385"/>
      <c r="G1161" s="385"/>
      <c r="H1161" s="401"/>
      <c r="I1161" s="385" t="str">
        <f>CONCATENATE(I1162," ",H1162," ","-",N1162," ",M1162)</f>
        <v>Благоустройство территории  -70 м2</v>
      </c>
      <c r="J1161" s="489" t="s">
        <v>365</v>
      </c>
      <c r="K1161" s="450">
        <v>44317</v>
      </c>
      <c r="L1161" s="450">
        <v>44530</v>
      </c>
      <c r="M1161" s="490"/>
      <c r="N1161" s="490"/>
    </row>
    <row r="1162" spans="1:130" ht="24" hidden="1" customHeight="1" outlineLevel="2">
      <c r="A1162" s="401"/>
      <c r="B1162" s="401"/>
      <c r="C1162" s="401"/>
      <c r="D1162" s="401" t="s">
        <v>391</v>
      </c>
      <c r="E1162" s="401"/>
      <c r="F1162" s="401"/>
      <c r="G1162" s="401"/>
      <c r="H1162" s="401"/>
      <c r="I1162" s="401" t="s">
        <v>3742</v>
      </c>
      <c r="J1162" s="401"/>
      <c r="K1162" s="401"/>
      <c r="L1162" s="401"/>
      <c r="M1162" s="401" t="s">
        <v>313</v>
      </c>
      <c r="N1162" s="401">
        <v>70</v>
      </c>
    </row>
    <row r="1163" spans="1:130" s="393" customFormat="1" ht="60.75">
      <c r="A1163" s="438" t="s">
        <v>339</v>
      </c>
      <c r="B1163" s="490"/>
      <c r="C1163" s="414"/>
      <c r="D1163" s="490"/>
      <c r="E1163" s="490"/>
      <c r="F1163" s="385"/>
      <c r="G1163" s="385"/>
      <c r="H1163" s="539" t="s">
        <v>338</v>
      </c>
      <c r="I1163" s="385"/>
      <c r="J1163" s="489"/>
      <c r="K1163" s="412"/>
      <c r="L1163" s="412"/>
      <c r="M1163" s="389"/>
      <c r="N1163" s="389"/>
      <c r="O1163" s="377"/>
      <c r="P1163" s="377"/>
      <c r="Q1163" s="377"/>
      <c r="R1163" s="377"/>
      <c r="S1163" s="377"/>
      <c r="T1163" s="377"/>
      <c r="U1163" s="377"/>
      <c r="V1163" s="377"/>
      <c r="W1163" s="377"/>
      <c r="X1163" s="377"/>
      <c r="Y1163" s="377"/>
      <c r="Z1163" s="377"/>
      <c r="AA1163" s="377"/>
      <c r="AB1163" s="377"/>
      <c r="AC1163" s="377"/>
      <c r="AD1163" s="377"/>
      <c r="AE1163" s="377"/>
      <c r="AF1163" s="377"/>
      <c r="AG1163" s="377"/>
      <c r="AH1163" s="377"/>
      <c r="AI1163" s="377"/>
      <c r="AJ1163" s="377"/>
      <c r="AK1163" s="377"/>
      <c r="AL1163" s="377"/>
      <c r="AM1163" s="377"/>
      <c r="AN1163" s="377"/>
      <c r="AO1163" s="377"/>
      <c r="AP1163" s="377"/>
      <c r="AQ1163" s="377"/>
      <c r="AR1163" s="377"/>
      <c r="AS1163" s="377"/>
      <c r="AT1163" s="377"/>
      <c r="AU1163" s="377"/>
      <c r="AV1163" s="377"/>
      <c r="AW1163" s="377"/>
      <c r="AX1163" s="377"/>
      <c r="AY1163" s="377"/>
      <c r="AZ1163" s="377"/>
      <c r="BA1163" s="377"/>
      <c r="BB1163" s="377"/>
      <c r="BC1163" s="377"/>
      <c r="BD1163" s="377"/>
      <c r="BE1163" s="377"/>
      <c r="BF1163" s="377"/>
      <c r="BG1163" s="377"/>
      <c r="BH1163" s="377"/>
      <c r="BI1163" s="377"/>
      <c r="BJ1163" s="377"/>
      <c r="BK1163" s="377"/>
      <c r="BL1163" s="377"/>
      <c r="BM1163" s="377"/>
      <c r="BN1163" s="377"/>
      <c r="BO1163" s="377"/>
      <c r="BP1163" s="377"/>
      <c r="BQ1163" s="377"/>
      <c r="BR1163" s="377"/>
      <c r="BS1163" s="377"/>
      <c r="BT1163" s="377"/>
      <c r="BU1163" s="377"/>
      <c r="BV1163" s="377"/>
      <c r="BW1163" s="377"/>
      <c r="BX1163" s="377"/>
      <c r="BY1163" s="377"/>
      <c r="BZ1163" s="377"/>
      <c r="CA1163" s="377"/>
      <c r="CB1163" s="377"/>
      <c r="CC1163" s="377"/>
      <c r="CD1163" s="377"/>
      <c r="CE1163" s="377"/>
      <c r="CF1163" s="377"/>
      <c r="CG1163" s="377"/>
      <c r="CH1163" s="377"/>
      <c r="CI1163" s="377"/>
      <c r="CJ1163" s="377"/>
      <c r="CK1163" s="377"/>
      <c r="CL1163" s="377"/>
      <c r="CM1163" s="377"/>
      <c r="CN1163" s="377"/>
      <c r="CO1163" s="377"/>
      <c r="CP1163" s="377"/>
      <c r="CQ1163" s="377"/>
      <c r="CR1163" s="377"/>
      <c r="CS1163" s="377"/>
      <c r="CT1163" s="377"/>
      <c r="CU1163" s="377"/>
      <c r="CV1163" s="377"/>
      <c r="CW1163" s="377"/>
      <c r="CX1163" s="377"/>
      <c r="CY1163" s="377"/>
      <c r="CZ1163" s="377"/>
      <c r="DA1163" s="377"/>
      <c r="DB1163" s="377"/>
      <c r="DC1163" s="377"/>
      <c r="DD1163" s="377"/>
      <c r="DE1163" s="377"/>
      <c r="DF1163" s="377"/>
      <c r="DG1163" s="377"/>
      <c r="DH1163" s="377"/>
      <c r="DI1163" s="377"/>
      <c r="DJ1163" s="377"/>
      <c r="DK1163" s="377"/>
      <c r="DL1163" s="377"/>
      <c r="DM1163" s="377"/>
      <c r="DN1163" s="377"/>
      <c r="DO1163" s="377"/>
      <c r="DP1163" s="377"/>
      <c r="DQ1163" s="377"/>
      <c r="DR1163" s="377"/>
      <c r="DS1163" s="377"/>
      <c r="DT1163" s="377"/>
      <c r="DU1163" s="377"/>
      <c r="DV1163" s="377"/>
      <c r="DW1163" s="377"/>
      <c r="DX1163" s="377"/>
      <c r="DY1163" s="377"/>
      <c r="DZ1163" s="377"/>
    </row>
    <row r="1164" spans="1:130" s="417" customFormat="1" ht="33" customHeight="1" outlineLevel="1" collapsed="1">
      <c r="A1164" s="489" t="s">
        <v>340</v>
      </c>
      <c r="B1164" s="490"/>
      <c r="C1164" s="398"/>
      <c r="D1164" s="399"/>
      <c r="E1164" s="490"/>
      <c r="F1164" s="400"/>
      <c r="G1164" s="385"/>
      <c r="H1164" s="401" t="s">
        <v>3735</v>
      </c>
      <c r="I1164" s="385"/>
      <c r="J1164" s="489"/>
      <c r="K1164" s="412"/>
      <c r="L1164" s="412"/>
      <c r="M1164" s="415"/>
      <c r="N1164" s="415"/>
      <c r="O1164" s="394"/>
      <c r="P1164" s="394"/>
      <c r="Q1164" s="394"/>
      <c r="R1164" s="394"/>
      <c r="S1164" s="394"/>
      <c r="T1164" s="394"/>
      <c r="U1164" s="394"/>
      <c r="V1164" s="394"/>
      <c r="W1164" s="394"/>
      <c r="X1164" s="394"/>
      <c r="Y1164" s="394"/>
      <c r="Z1164" s="394"/>
      <c r="AA1164" s="394"/>
      <c r="AB1164" s="394"/>
      <c r="AC1164" s="394"/>
      <c r="AD1164" s="394"/>
      <c r="AE1164" s="394"/>
      <c r="AF1164" s="394"/>
      <c r="AG1164" s="394"/>
      <c r="AH1164" s="394"/>
      <c r="AI1164" s="394"/>
      <c r="AJ1164" s="394"/>
      <c r="AK1164" s="394"/>
      <c r="AL1164" s="394"/>
      <c r="AM1164" s="394"/>
      <c r="AN1164" s="394"/>
      <c r="AO1164" s="394"/>
      <c r="AP1164" s="394"/>
      <c r="AQ1164" s="394"/>
      <c r="AR1164" s="394"/>
      <c r="AS1164" s="394"/>
      <c r="AT1164" s="394"/>
      <c r="AU1164" s="394"/>
      <c r="AV1164" s="394"/>
      <c r="AW1164" s="394"/>
      <c r="AX1164" s="394"/>
      <c r="AY1164" s="394"/>
      <c r="AZ1164" s="394"/>
      <c r="BA1164" s="394"/>
      <c r="BB1164" s="394"/>
      <c r="BC1164" s="394"/>
      <c r="BD1164" s="394"/>
      <c r="BE1164" s="394"/>
      <c r="BF1164" s="394"/>
      <c r="BG1164" s="394"/>
      <c r="BH1164" s="394"/>
      <c r="BI1164" s="394"/>
      <c r="BJ1164" s="394"/>
      <c r="BK1164" s="394"/>
      <c r="BL1164" s="394"/>
      <c r="BM1164" s="394"/>
      <c r="BN1164" s="394"/>
      <c r="BO1164" s="394"/>
      <c r="BP1164" s="394"/>
      <c r="BQ1164" s="394"/>
      <c r="BR1164" s="394"/>
      <c r="BS1164" s="394"/>
      <c r="BT1164" s="394"/>
      <c r="BU1164" s="394"/>
      <c r="BV1164" s="394"/>
      <c r="BW1164" s="394"/>
      <c r="BX1164" s="394"/>
      <c r="BY1164" s="394"/>
      <c r="BZ1164" s="394"/>
      <c r="CA1164" s="394"/>
      <c r="CB1164" s="394"/>
      <c r="CC1164" s="394"/>
      <c r="CD1164" s="394"/>
      <c r="CE1164" s="394"/>
      <c r="CF1164" s="394"/>
      <c r="CG1164" s="394"/>
      <c r="CH1164" s="394"/>
      <c r="CI1164" s="394"/>
      <c r="CJ1164" s="394"/>
      <c r="CK1164" s="394"/>
      <c r="CL1164" s="394"/>
      <c r="CM1164" s="394"/>
      <c r="CN1164" s="394"/>
      <c r="CO1164" s="394"/>
      <c r="CP1164" s="394"/>
      <c r="CQ1164" s="394"/>
      <c r="CR1164" s="394"/>
      <c r="CS1164" s="394"/>
      <c r="CT1164" s="394"/>
      <c r="CU1164" s="394"/>
      <c r="CV1164" s="394"/>
      <c r="CW1164" s="394"/>
      <c r="CX1164" s="394"/>
      <c r="CY1164" s="394"/>
      <c r="CZ1164" s="394"/>
      <c r="DA1164" s="394"/>
      <c r="DB1164" s="394"/>
      <c r="DC1164" s="394"/>
      <c r="DD1164" s="394"/>
      <c r="DE1164" s="394"/>
      <c r="DF1164" s="394"/>
      <c r="DG1164" s="394"/>
      <c r="DH1164" s="394"/>
      <c r="DI1164" s="394"/>
      <c r="DJ1164" s="394"/>
      <c r="DK1164" s="394"/>
      <c r="DL1164" s="394"/>
      <c r="DM1164" s="394"/>
      <c r="DN1164" s="394"/>
      <c r="DO1164" s="394"/>
      <c r="DP1164" s="394"/>
      <c r="DQ1164" s="394"/>
      <c r="DR1164" s="394"/>
      <c r="DS1164" s="394"/>
      <c r="DT1164" s="394"/>
      <c r="DU1164" s="394"/>
      <c r="DV1164" s="394"/>
      <c r="DW1164" s="394"/>
      <c r="DX1164" s="394"/>
      <c r="DY1164" s="394"/>
      <c r="DZ1164" s="394"/>
    </row>
    <row r="1165" spans="1:130" s="407" customFormat="1" ht="112.5" hidden="1" customHeight="1" outlineLevel="2" collapsed="1">
      <c r="A1165" s="489" t="s">
        <v>3397</v>
      </c>
      <c r="B1165" s="490"/>
      <c r="C1165" s="399" t="s">
        <v>3736</v>
      </c>
      <c r="D1165" s="399" t="s">
        <v>391</v>
      </c>
      <c r="E1165" s="385" t="s">
        <v>3737</v>
      </c>
      <c r="F1165" s="385"/>
      <c r="G1165" s="385"/>
      <c r="H1165" s="401" t="s">
        <v>3738</v>
      </c>
      <c r="I1165" s="385" t="str">
        <f>CONCATENATE(I1166," ",H1166," ","-",N1166," ",M1166)</f>
        <v>Обработка огнезащитным составом металлических поверхностей  -373,292 м2</v>
      </c>
      <c r="J1165" s="489" t="s">
        <v>365</v>
      </c>
      <c r="K1165" s="450">
        <v>44378</v>
      </c>
      <c r="L1165" s="450">
        <v>44500</v>
      </c>
      <c r="M1165" s="540"/>
      <c r="N1165" s="540"/>
      <c r="O1165" s="406"/>
      <c r="P1165" s="406"/>
      <c r="Q1165" s="406"/>
      <c r="R1165" s="406"/>
      <c r="S1165" s="406"/>
      <c r="T1165" s="406"/>
      <c r="U1165" s="406"/>
      <c r="V1165" s="406"/>
      <c r="W1165" s="406"/>
      <c r="X1165" s="406"/>
      <c r="Y1165" s="406"/>
      <c r="Z1165" s="406"/>
      <c r="AA1165" s="406"/>
      <c r="AB1165" s="406"/>
      <c r="AC1165" s="406"/>
      <c r="AD1165" s="406"/>
      <c r="AE1165" s="406"/>
      <c r="AF1165" s="406"/>
      <c r="AG1165" s="406"/>
      <c r="AH1165" s="406"/>
      <c r="AI1165" s="406"/>
      <c r="AJ1165" s="406"/>
      <c r="AK1165" s="406"/>
      <c r="AL1165" s="406"/>
      <c r="AM1165" s="406"/>
      <c r="AN1165" s="406"/>
      <c r="AO1165" s="406"/>
      <c r="AP1165" s="406"/>
      <c r="AQ1165" s="406"/>
      <c r="AR1165" s="406"/>
      <c r="AS1165" s="406"/>
      <c r="AT1165" s="406"/>
      <c r="AU1165" s="406"/>
      <c r="AV1165" s="406"/>
      <c r="AW1165" s="406"/>
      <c r="AX1165" s="406"/>
      <c r="AY1165" s="406"/>
      <c r="AZ1165" s="406"/>
      <c r="BA1165" s="406"/>
      <c r="BB1165" s="406"/>
      <c r="BC1165" s="406"/>
      <c r="BD1165" s="406"/>
      <c r="BE1165" s="406"/>
      <c r="BF1165" s="406"/>
      <c r="BG1165" s="406"/>
      <c r="BH1165" s="406"/>
      <c r="BI1165" s="406"/>
      <c r="BJ1165" s="406"/>
      <c r="BK1165" s="406"/>
      <c r="BL1165" s="406"/>
      <c r="BM1165" s="406"/>
      <c r="BN1165" s="406"/>
      <c r="BO1165" s="406"/>
      <c r="BP1165" s="406"/>
      <c r="BQ1165" s="406"/>
      <c r="BR1165" s="406"/>
      <c r="BS1165" s="406"/>
      <c r="BT1165" s="406"/>
      <c r="BU1165" s="406"/>
      <c r="BV1165" s="406"/>
      <c r="BW1165" s="406"/>
      <c r="BX1165" s="406"/>
      <c r="BY1165" s="406"/>
      <c r="BZ1165" s="406"/>
      <c r="CA1165" s="406"/>
      <c r="CB1165" s="406"/>
      <c r="CC1165" s="406"/>
      <c r="CD1165" s="406"/>
      <c r="CE1165" s="406"/>
      <c r="CF1165" s="406"/>
      <c r="CG1165" s="406"/>
      <c r="CH1165" s="406"/>
      <c r="CI1165" s="406"/>
      <c r="CJ1165" s="406"/>
      <c r="CK1165" s="406"/>
      <c r="CL1165" s="406"/>
      <c r="CM1165" s="406"/>
      <c r="CN1165" s="406"/>
      <c r="CO1165" s="406"/>
      <c r="CP1165" s="406"/>
      <c r="CQ1165" s="406"/>
      <c r="CR1165" s="406"/>
      <c r="CS1165" s="406"/>
      <c r="CT1165" s="406"/>
      <c r="CU1165" s="406"/>
      <c r="CV1165" s="406"/>
      <c r="CW1165" s="406"/>
      <c r="CX1165" s="406"/>
      <c r="CY1165" s="406"/>
      <c r="CZ1165" s="406"/>
      <c r="DA1165" s="406"/>
      <c r="DB1165" s="406"/>
      <c r="DC1165" s="406"/>
      <c r="DD1165" s="406"/>
      <c r="DE1165" s="406"/>
      <c r="DF1165" s="406"/>
      <c r="DG1165" s="406"/>
      <c r="DH1165" s="406"/>
      <c r="DI1165" s="406"/>
      <c r="DJ1165" s="406"/>
      <c r="DK1165" s="406"/>
      <c r="DL1165" s="406"/>
      <c r="DM1165" s="406"/>
      <c r="DN1165" s="406"/>
      <c r="DO1165" s="406"/>
      <c r="DP1165" s="406"/>
      <c r="DQ1165" s="406"/>
      <c r="DR1165" s="406"/>
      <c r="DS1165" s="406"/>
      <c r="DT1165" s="406"/>
      <c r="DU1165" s="406"/>
      <c r="DV1165" s="406"/>
      <c r="DW1165" s="406"/>
      <c r="DX1165" s="406"/>
      <c r="DY1165" s="406"/>
      <c r="DZ1165" s="406"/>
    </row>
    <row r="1166" spans="1:130" ht="40.5" hidden="1" outlineLevel="3">
      <c r="A1166" s="494"/>
      <c r="B1166" s="523"/>
      <c r="C1166" s="419"/>
      <c r="D1166" s="420"/>
      <c r="E1166" s="380"/>
      <c r="F1166" s="547"/>
      <c r="G1166" s="380"/>
      <c r="H1166" s="381"/>
      <c r="I1166" s="385" t="s">
        <v>3739</v>
      </c>
      <c r="J1166" s="489"/>
      <c r="K1166" s="412"/>
      <c r="L1166" s="412"/>
      <c r="M1166" s="490" t="s">
        <v>313</v>
      </c>
      <c r="N1166" s="490">
        <v>373.29199999999997</v>
      </c>
    </row>
    <row r="1167" spans="1:130" s="407" customFormat="1" ht="121.5" hidden="1" outlineLevel="2" collapsed="1">
      <c r="A1167" s="489" t="s">
        <v>3398</v>
      </c>
      <c r="B1167" s="490"/>
      <c r="C1167" s="399" t="s">
        <v>3399</v>
      </c>
      <c r="D1167" s="399" t="s">
        <v>391</v>
      </c>
      <c r="E1167" s="385" t="s">
        <v>3740</v>
      </c>
      <c r="F1167" s="385"/>
      <c r="G1167" s="385"/>
      <c r="H1167" s="401" t="s">
        <v>3741</v>
      </c>
      <c r="I1167" s="385" t="str">
        <f>CONCATENATE(I1168," ",H1168," ","-",N1168," ",M1168)</f>
        <v>Устройство пожарной сигнализации  -5 шт</v>
      </c>
      <c r="J1167" s="489" t="s">
        <v>365</v>
      </c>
      <c r="K1167" s="450">
        <v>44378</v>
      </c>
      <c r="L1167" s="450">
        <v>44500</v>
      </c>
      <c r="M1167" s="540"/>
      <c r="N1167" s="540"/>
      <c r="O1167" s="406"/>
      <c r="P1167" s="406"/>
      <c r="Q1167" s="406"/>
      <c r="R1167" s="406"/>
      <c r="S1167" s="406"/>
      <c r="T1167" s="406"/>
      <c r="U1167" s="406"/>
      <c r="V1167" s="406"/>
      <c r="W1167" s="406"/>
      <c r="X1167" s="406"/>
      <c r="Y1167" s="406"/>
      <c r="Z1167" s="406"/>
      <c r="AA1167" s="406"/>
      <c r="AB1167" s="406"/>
      <c r="AC1167" s="406"/>
      <c r="AD1167" s="406"/>
      <c r="AE1167" s="406"/>
      <c r="AF1167" s="406"/>
      <c r="AG1167" s="406"/>
      <c r="AH1167" s="406"/>
      <c r="AI1167" s="406"/>
      <c r="AJ1167" s="406"/>
      <c r="AK1167" s="406"/>
      <c r="AL1167" s="406"/>
      <c r="AM1167" s="406"/>
      <c r="AN1167" s="406"/>
      <c r="AO1167" s="406"/>
      <c r="AP1167" s="406"/>
      <c r="AQ1167" s="406"/>
      <c r="AR1167" s="406"/>
      <c r="AS1167" s="406"/>
      <c r="AT1167" s="406"/>
      <c r="AU1167" s="406"/>
      <c r="AV1167" s="406"/>
      <c r="AW1167" s="406"/>
      <c r="AX1167" s="406"/>
      <c r="AY1167" s="406"/>
      <c r="AZ1167" s="406"/>
      <c r="BA1167" s="406"/>
      <c r="BB1167" s="406"/>
      <c r="BC1167" s="406"/>
      <c r="BD1167" s="406"/>
      <c r="BE1167" s="406"/>
      <c r="BF1167" s="406"/>
      <c r="BG1167" s="406"/>
      <c r="BH1167" s="406"/>
      <c r="BI1167" s="406"/>
      <c r="BJ1167" s="406"/>
      <c r="BK1167" s="406"/>
      <c r="BL1167" s="406"/>
      <c r="BM1167" s="406"/>
      <c r="BN1167" s="406"/>
      <c r="BO1167" s="406"/>
      <c r="BP1167" s="406"/>
      <c r="BQ1167" s="406"/>
      <c r="BR1167" s="406"/>
      <c r="BS1167" s="406"/>
      <c r="BT1167" s="406"/>
      <c r="BU1167" s="406"/>
      <c r="BV1167" s="406"/>
      <c r="BW1167" s="406"/>
      <c r="BX1167" s="406"/>
      <c r="BY1167" s="406"/>
      <c r="BZ1167" s="406"/>
      <c r="CA1167" s="406"/>
      <c r="CB1167" s="406"/>
      <c r="CC1167" s="406"/>
      <c r="CD1167" s="406"/>
      <c r="CE1167" s="406"/>
      <c r="CF1167" s="406"/>
      <c r="CG1167" s="406"/>
      <c r="CH1167" s="406"/>
      <c r="CI1167" s="406"/>
      <c r="CJ1167" s="406"/>
      <c r="CK1167" s="406"/>
      <c r="CL1167" s="406"/>
      <c r="CM1167" s="406"/>
      <c r="CN1167" s="406"/>
      <c r="CO1167" s="406"/>
      <c r="CP1167" s="406"/>
      <c r="CQ1167" s="406"/>
      <c r="CR1167" s="406"/>
      <c r="CS1167" s="406"/>
      <c r="CT1167" s="406"/>
      <c r="CU1167" s="406"/>
      <c r="CV1167" s="406"/>
      <c r="CW1167" s="406"/>
      <c r="CX1167" s="406"/>
      <c r="CY1167" s="406"/>
      <c r="CZ1167" s="406"/>
      <c r="DA1167" s="406"/>
      <c r="DB1167" s="406"/>
      <c r="DC1167" s="406"/>
      <c r="DD1167" s="406"/>
      <c r="DE1167" s="406"/>
      <c r="DF1167" s="406"/>
      <c r="DG1167" s="406"/>
      <c r="DH1167" s="406"/>
      <c r="DI1167" s="406"/>
      <c r="DJ1167" s="406"/>
      <c r="DK1167" s="406"/>
      <c r="DL1167" s="406"/>
      <c r="DM1167" s="406"/>
      <c r="DN1167" s="406"/>
      <c r="DO1167" s="406"/>
      <c r="DP1167" s="406"/>
      <c r="DQ1167" s="406"/>
      <c r="DR1167" s="406"/>
      <c r="DS1167" s="406"/>
      <c r="DT1167" s="406"/>
      <c r="DU1167" s="406"/>
      <c r="DV1167" s="406"/>
      <c r="DW1167" s="406"/>
      <c r="DX1167" s="406"/>
      <c r="DY1167" s="406"/>
      <c r="DZ1167" s="406"/>
    </row>
    <row r="1168" spans="1:130" hidden="1" outlineLevel="3">
      <c r="A1168" s="494"/>
      <c r="B1168" s="523"/>
      <c r="C1168" s="419"/>
      <c r="D1168" s="420"/>
      <c r="E1168" s="380"/>
      <c r="F1168" s="547"/>
      <c r="G1168" s="380"/>
      <c r="H1168" s="381"/>
      <c r="I1168" s="380" t="s">
        <v>3400</v>
      </c>
      <c r="J1168" s="382"/>
      <c r="K1168" s="494"/>
      <c r="L1168" s="494"/>
      <c r="M1168" s="506" t="s">
        <v>813</v>
      </c>
      <c r="N1168" s="506">
        <v>5</v>
      </c>
    </row>
    <row r="1169" spans="1:130" outlineLevel="1" collapsed="1">
      <c r="A1169" s="412" t="s">
        <v>371</v>
      </c>
      <c r="B1169" s="490"/>
      <c r="C1169" s="398"/>
      <c r="D1169" s="399"/>
      <c r="E1169" s="385"/>
      <c r="F1169" s="400"/>
      <c r="G1169" s="385"/>
      <c r="H1169" s="561" t="s">
        <v>346</v>
      </c>
      <c r="I1169" s="385"/>
      <c r="J1169" s="489"/>
      <c r="K1169" s="412"/>
      <c r="L1169" s="412"/>
      <c r="M1169" s="415"/>
      <c r="N1169" s="415"/>
    </row>
    <row r="1170" spans="1:130" s="407" customFormat="1" ht="99" customHeight="1" outlineLevel="1" collapsed="1">
      <c r="A1170" s="489" t="s">
        <v>1774</v>
      </c>
      <c r="B1170" s="490"/>
      <c r="C1170" s="398" t="s">
        <v>346</v>
      </c>
      <c r="D1170" s="399" t="s">
        <v>391</v>
      </c>
      <c r="E1170" s="490" t="s">
        <v>3401</v>
      </c>
      <c r="F1170" s="385" t="s">
        <v>3402</v>
      </c>
      <c r="G1170" s="385"/>
      <c r="H1170" s="401" t="s">
        <v>3403</v>
      </c>
      <c r="I1170" s="385" t="str">
        <f>CONCATENATE(I1171," ",H1171," ","-",N1171," ",M1171)</f>
        <v>ремонт дуговой защиты  -2 шт</v>
      </c>
      <c r="J1170" s="489" t="s">
        <v>365</v>
      </c>
      <c r="K1170" s="450">
        <v>44317</v>
      </c>
      <c r="L1170" s="450">
        <v>44500</v>
      </c>
      <c r="M1170" s="490"/>
      <c r="N1170" s="490"/>
      <c r="O1170" s="406"/>
      <c r="P1170" s="406"/>
      <c r="Q1170" s="406"/>
      <c r="R1170" s="406"/>
      <c r="S1170" s="406"/>
      <c r="T1170" s="406"/>
      <c r="U1170" s="406"/>
      <c r="V1170" s="406"/>
      <c r="W1170" s="406"/>
      <c r="X1170" s="406"/>
      <c r="Y1170" s="406"/>
      <c r="Z1170" s="406"/>
      <c r="AA1170" s="406"/>
      <c r="AB1170" s="406"/>
      <c r="AC1170" s="406"/>
      <c r="AD1170" s="406"/>
      <c r="AE1170" s="406"/>
      <c r="AF1170" s="406"/>
      <c r="AG1170" s="406"/>
      <c r="AH1170" s="406"/>
      <c r="AI1170" s="406"/>
      <c r="AJ1170" s="406"/>
      <c r="AK1170" s="406"/>
      <c r="AL1170" s="406"/>
      <c r="AM1170" s="406"/>
      <c r="AN1170" s="406"/>
      <c r="AO1170" s="406"/>
      <c r="AP1170" s="406"/>
      <c r="AQ1170" s="406"/>
      <c r="AR1170" s="406"/>
      <c r="AS1170" s="406"/>
      <c r="AT1170" s="406"/>
      <c r="AU1170" s="406"/>
      <c r="AV1170" s="406"/>
      <c r="AW1170" s="406"/>
      <c r="AX1170" s="406"/>
      <c r="AY1170" s="406"/>
      <c r="AZ1170" s="406"/>
      <c r="BA1170" s="406"/>
      <c r="BB1170" s="406"/>
      <c r="BC1170" s="406"/>
      <c r="BD1170" s="406"/>
      <c r="BE1170" s="406"/>
      <c r="BF1170" s="406"/>
      <c r="BG1170" s="406"/>
      <c r="BH1170" s="406"/>
      <c r="BI1170" s="406"/>
      <c r="BJ1170" s="406"/>
      <c r="BK1170" s="406"/>
      <c r="BL1170" s="406"/>
      <c r="BM1170" s="406"/>
      <c r="BN1170" s="406"/>
      <c r="BO1170" s="406"/>
      <c r="BP1170" s="406"/>
      <c r="BQ1170" s="406"/>
      <c r="BR1170" s="406"/>
      <c r="BS1170" s="406"/>
      <c r="BT1170" s="406"/>
      <c r="BU1170" s="406"/>
      <c r="BV1170" s="406"/>
      <c r="BW1170" s="406"/>
      <c r="BX1170" s="406"/>
      <c r="BY1170" s="406"/>
      <c r="BZ1170" s="406"/>
      <c r="CA1170" s="406"/>
      <c r="CB1170" s="406"/>
      <c r="CC1170" s="406"/>
      <c r="CD1170" s="406"/>
      <c r="CE1170" s="406"/>
      <c r="CF1170" s="406"/>
      <c r="CG1170" s="406"/>
      <c r="CH1170" s="406"/>
      <c r="CI1170" s="406"/>
      <c r="CJ1170" s="406"/>
      <c r="CK1170" s="406"/>
      <c r="CL1170" s="406"/>
      <c r="CM1170" s="406"/>
      <c r="CN1170" s="406"/>
      <c r="CO1170" s="406"/>
      <c r="CP1170" s="406"/>
      <c r="CQ1170" s="406"/>
      <c r="CR1170" s="406"/>
      <c r="CS1170" s="406"/>
      <c r="CT1170" s="406"/>
      <c r="CU1170" s="406"/>
      <c r="CV1170" s="406"/>
      <c r="CW1170" s="406"/>
      <c r="CX1170" s="406"/>
      <c r="CY1170" s="406"/>
      <c r="CZ1170" s="406"/>
      <c r="DA1170" s="406"/>
      <c r="DB1170" s="406"/>
      <c r="DC1170" s="406"/>
      <c r="DD1170" s="406"/>
      <c r="DE1170" s="406"/>
      <c r="DF1170" s="406"/>
      <c r="DG1170" s="406"/>
      <c r="DH1170" s="406"/>
      <c r="DI1170" s="406"/>
      <c r="DJ1170" s="406"/>
      <c r="DK1170" s="406"/>
      <c r="DL1170" s="406"/>
      <c r="DM1170" s="406"/>
      <c r="DN1170" s="406"/>
      <c r="DO1170" s="406"/>
      <c r="DP1170" s="406"/>
      <c r="DQ1170" s="406"/>
      <c r="DR1170" s="406"/>
      <c r="DS1170" s="406"/>
      <c r="DT1170" s="406"/>
      <c r="DU1170" s="406"/>
      <c r="DV1170" s="406"/>
      <c r="DW1170" s="406"/>
      <c r="DX1170" s="406"/>
      <c r="DY1170" s="406"/>
      <c r="DZ1170" s="406"/>
    </row>
    <row r="1171" spans="1:130" hidden="1" outlineLevel="2">
      <c r="A1171" s="494"/>
      <c r="B1171" s="523"/>
      <c r="C1171" s="419"/>
      <c r="D1171" s="420"/>
      <c r="E1171" s="380"/>
      <c r="F1171" s="547"/>
      <c r="G1171" s="380"/>
      <c r="H1171" s="381"/>
      <c r="I1171" s="380" t="s">
        <v>3404</v>
      </c>
      <c r="J1171" s="382"/>
      <c r="K1171" s="494"/>
      <c r="L1171" s="494"/>
      <c r="M1171" s="506" t="s">
        <v>813</v>
      </c>
      <c r="N1171" s="506">
        <v>2</v>
      </c>
    </row>
    <row r="1172" spans="1:130" s="407" customFormat="1" ht="99" customHeight="1" outlineLevel="1" collapsed="1">
      <c r="A1172" s="489" t="s">
        <v>1775</v>
      </c>
      <c r="B1172" s="490"/>
      <c r="C1172" s="398" t="s">
        <v>346</v>
      </c>
      <c r="D1172" s="399" t="s">
        <v>391</v>
      </c>
      <c r="E1172" s="490" t="s">
        <v>3405</v>
      </c>
      <c r="F1172" s="385" t="s">
        <v>3402</v>
      </c>
      <c r="G1172" s="385"/>
      <c r="H1172" s="401" t="s">
        <v>707</v>
      </c>
      <c r="I1172" s="385" t="str">
        <f>CONCATENATE(I1173," ",H1173," ","-",N1173," ",M1173)</f>
        <v>ремонт дуговой защиты  -2 шт</v>
      </c>
      <c r="J1172" s="489" t="s">
        <v>365</v>
      </c>
      <c r="K1172" s="450">
        <v>44317</v>
      </c>
      <c r="L1172" s="450">
        <v>44500</v>
      </c>
      <c r="M1172" s="490"/>
      <c r="N1172" s="490"/>
      <c r="O1172" s="406"/>
      <c r="P1172" s="406"/>
      <c r="Q1172" s="406"/>
      <c r="R1172" s="406"/>
      <c r="S1172" s="406"/>
      <c r="T1172" s="406"/>
      <c r="U1172" s="406"/>
      <c r="V1172" s="406"/>
      <c r="W1172" s="406"/>
      <c r="X1172" s="406"/>
      <c r="Y1172" s="406"/>
      <c r="Z1172" s="406"/>
      <c r="AA1172" s="406"/>
      <c r="AB1172" s="406"/>
      <c r="AC1172" s="406"/>
      <c r="AD1172" s="406"/>
      <c r="AE1172" s="406"/>
      <c r="AF1172" s="406"/>
      <c r="AG1172" s="406"/>
      <c r="AH1172" s="406"/>
      <c r="AI1172" s="406"/>
      <c r="AJ1172" s="406"/>
      <c r="AK1172" s="406"/>
      <c r="AL1172" s="406"/>
      <c r="AM1172" s="406"/>
      <c r="AN1172" s="406"/>
      <c r="AO1172" s="406"/>
      <c r="AP1172" s="406"/>
      <c r="AQ1172" s="406"/>
      <c r="AR1172" s="406"/>
      <c r="AS1172" s="406"/>
      <c r="AT1172" s="406"/>
      <c r="AU1172" s="406"/>
      <c r="AV1172" s="406"/>
      <c r="AW1172" s="406"/>
      <c r="AX1172" s="406"/>
      <c r="AY1172" s="406"/>
      <c r="AZ1172" s="406"/>
      <c r="BA1172" s="406"/>
      <c r="BB1172" s="406"/>
      <c r="BC1172" s="406"/>
      <c r="BD1172" s="406"/>
      <c r="BE1172" s="406"/>
      <c r="BF1172" s="406"/>
      <c r="BG1172" s="406"/>
      <c r="BH1172" s="406"/>
      <c r="BI1172" s="406"/>
      <c r="BJ1172" s="406"/>
      <c r="BK1172" s="406"/>
      <c r="BL1172" s="406"/>
      <c r="BM1172" s="406"/>
      <c r="BN1172" s="406"/>
      <c r="BO1172" s="406"/>
      <c r="BP1172" s="406"/>
      <c r="BQ1172" s="406"/>
      <c r="BR1172" s="406"/>
      <c r="BS1172" s="406"/>
      <c r="BT1172" s="406"/>
      <c r="BU1172" s="406"/>
      <c r="BV1172" s="406"/>
      <c r="BW1172" s="406"/>
      <c r="BX1172" s="406"/>
      <c r="BY1172" s="406"/>
      <c r="BZ1172" s="406"/>
      <c r="CA1172" s="406"/>
      <c r="CB1172" s="406"/>
      <c r="CC1172" s="406"/>
      <c r="CD1172" s="406"/>
      <c r="CE1172" s="406"/>
      <c r="CF1172" s="406"/>
      <c r="CG1172" s="406"/>
      <c r="CH1172" s="406"/>
      <c r="CI1172" s="406"/>
      <c r="CJ1172" s="406"/>
      <c r="CK1172" s="406"/>
      <c r="CL1172" s="406"/>
      <c r="CM1172" s="406"/>
      <c r="CN1172" s="406"/>
      <c r="CO1172" s="406"/>
      <c r="CP1172" s="406"/>
      <c r="CQ1172" s="406"/>
      <c r="CR1172" s="406"/>
      <c r="CS1172" s="406"/>
      <c r="CT1172" s="406"/>
      <c r="CU1172" s="406"/>
      <c r="CV1172" s="406"/>
      <c r="CW1172" s="406"/>
      <c r="CX1172" s="406"/>
      <c r="CY1172" s="406"/>
      <c r="CZ1172" s="406"/>
      <c r="DA1172" s="406"/>
      <c r="DB1172" s="406"/>
      <c r="DC1172" s="406"/>
      <c r="DD1172" s="406"/>
      <c r="DE1172" s="406"/>
      <c r="DF1172" s="406"/>
      <c r="DG1172" s="406"/>
      <c r="DH1172" s="406"/>
      <c r="DI1172" s="406"/>
      <c r="DJ1172" s="406"/>
      <c r="DK1172" s="406"/>
      <c r="DL1172" s="406"/>
      <c r="DM1172" s="406"/>
      <c r="DN1172" s="406"/>
      <c r="DO1172" s="406"/>
      <c r="DP1172" s="406"/>
      <c r="DQ1172" s="406"/>
      <c r="DR1172" s="406"/>
      <c r="DS1172" s="406"/>
      <c r="DT1172" s="406"/>
      <c r="DU1172" s="406"/>
      <c r="DV1172" s="406"/>
      <c r="DW1172" s="406"/>
      <c r="DX1172" s="406"/>
      <c r="DY1172" s="406"/>
      <c r="DZ1172" s="406"/>
    </row>
    <row r="1173" spans="1:130" hidden="1" outlineLevel="2">
      <c r="A1173" s="494"/>
      <c r="B1173" s="523"/>
      <c r="C1173" s="419"/>
      <c r="D1173" s="420"/>
      <c r="E1173" s="380"/>
      <c r="F1173" s="547"/>
      <c r="G1173" s="380"/>
      <c r="H1173" s="381"/>
      <c r="I1173" s="380" t="s">
        <v>3404</v>
      </c>
      <c r="J1173" s="382"/>
      <c r="K1173" s="494"/>
      <c r="L1173" s="494"/>
      <c r="M1173" s="506" t="s">
        <v>813</v>
      </c>
      <c r="N1173" s="506">
        <v>2</v>
      </c>
    </row>
    <row r="1174" spans="1:130" s="407" customFormat="1" ht="99" customHeight="1" outlineLevel="1" collapsed="1">
      <c r="A1174" s="489" t="s">
        <v>1776</v>
      </c>
      <c r="B1174" s="490"/>
      <c r="C1174" s="398" t="s">
        <v>346</v>
      </c>
      <c r="D1174" s="399" t="s">
        <v>391</v>
      </c>
      <c r="E1174" s="490" t="s">
        <v>3406</v>
      </c>
      <c r="F1174" s="385" t="s">
        <v>3402</v>
      </c>
      <c r="G1174" s="385"/>
      <c r="H1174" s="401" t="s">
        <v>736</v>
      </c>
      <c r="I1174" s="385" t="str">
        <f>CONCATENATE(I1175," ",H1175," ","-",N1175," ",M1175)</f>
        <v>ремонт дуговой защиты  -2 шт</v>
      </c>
      <c r="J1174" s="489" t="s">
        <v>365</v>
      </c>
      <c r="K1174" s="450">
        <v>44317</v>
      </c>
      <c r="L1174" s="450">
        <v>44500</v>
      </c>
      <c r="M1174" s="490"/>
      <c r="N1174" s="490"/>
      <c r="O1174" s="406"/>
      <c r="P1174" s="406"/>
      <c r="Q1174" s="406"/>
      <c r="R1174" s="406"/>
      <c r="S1174" s="406"/>
      <c r="T1174" s="406"/>
      <c r="U1174" s="406"/>
      <c r="V1174" s="406"/>
      <c r="W1174" s="406"/>
      <c r="X1174" s="406"/>
      <c r="Y1174" s="406"/>
      <c r="Z1174" s="406"/>
      <c r="AA1174" s="406"/>
      <c r="AB1174" s="406"/>
      <c r="AC1174" s="406"/>
      <c r="AD1174" s="406"/>
      <c r="AE1174" s="406"/>
      <c r="AF1174" s="406"/>
      <c r="AG1174" s="406"/>
      <c r="AH1174" s="406"/>
      <c r="AI1174" s="406"/>
      <c r="AJ1174" s="406"/>
      <c r="AK1174" s="406"/>
      <c r="AL1174" s="406"/>
      <c r="AM1174" s="406"/>
      <c r="AN1174" s="406"/>
      <c r="AO1174" s="406"/>
      <c r="AP1174" s="406"/>
      <c r="AQ1174" s="406"/>
      <c r="AR1174" s="406"/>
      <c r="AS1174" s="406"/>
      <c r="AT1174" s="406"/>
      <c r="AU1174" s="406"/>
      <c r="AV1174" s="406"/>
      <c r="AW1174" s="406"/>
      <c r="AX1174" s="406"/>
      <c r="AY1174" s="406"/>
      <c r="AZ1174" s="406"/>
      <c r="BA1174" s="406"/>
      <c r="BB1174" s="406"/>
      <c r="BC1174" s="406"/>
      <c r="BD1174" s="406"/>
      <c r="BE1174" s="406"/>
      <c r="BF1174" s="406"/>
      <c r="BG1174" s="406"/>
      <c r="BH1174" s="406"/>
      <c r="BI1174" s="406"/>
      <c r="BJ1174" s="406"/>
      <c r="BK1174" s="406"/>
      <c r="BL1174" s="406"/>
      <c r="BM1174" s="406"/>
      <c r="BN1174" s="406"/>
      <c r="BO1174" s="406"/>
      <c r="BP1174" s="406"/>
      <c r="BQ1174" s="406"/>
      <c r="BR1174" s="406"/>
      <c r="BS1174" s="406"/>
      <c r="BT1174" s="406"/>
      <c r="BU1174" s="406"/>
      <c r="BV1174" s="406"/>
      <c r="BW1174" s="406"/>
      <c r="BX1174" s="406"/>
      <c r="BY1174" s="406"/>
      <c r="BZ1174" s="406"/>
      <c r="CA1174" s="406"/>
      <c r="CB1174" s="406"/>
      <c r="CC1174" s="406"/>
      <c r="CD1174" s="406"/>
      <c r="CE1174" s="406"/>
      <c r="CF1174" s="406"/>
      <c r="CG1174" s="406"/>
      <c r="CH1174" s="406"/>
      <c r="CI1174" s="406"/>
      <c r="CJ1174" s="406"/>
      <c r="CK1174" s="406"/>
      <c r="CL1174" s="406"/>
      <c r="CM1174" s="406"/>
      <c r="CN1174" s="406"/>
      <c r="CO1174" s="406"/>
      <c r="CP1174" s="406"/>
      <c r="CQ1174" s="406"/>
      <c r="CR1174" s="406"/>
      <c r="CS1174" s="406"/>
      <c r="CT1174" s="406"/>
      <c r="CU1174" s="406"/>
      <c r="CV1174" s="406"/>
      <c r="CW1174" s="406"/>
      <c r="CX1174" s="406"/>
      <c r="CY1174" s="406"/>
      <c r="CZ1174" s="406"/>
      <c r="DA1174" s="406"/>
      <c r="DB1174" s="406"/>
      <c r="DC1174" s="406"/>
      <c r="DD1174" s="406"/>
      <c r="DE1174" s="406"/>
      <c r="DF1174" s="406"/>
      <c r="DG1174" s="406"/>
      <c r="DH1174" s="406"/>
      <c r="DI1174" s="406"/>
      <c r="DJ1174" s="406"/>
      <c r="DK1174" s="406"/>
      <c r="DL1174" s="406"/>
      <c r="DM1174" s="406"/>
      <c r="DN1174" s="406"/>
      <c r="DO1174" s="406"/>
      <c r="DP1174" s="406"/>
      <c r="DQ1174" s="406"/>
      <c r="DR1174" s="406"/>
      <c r="DS1174" s="406"/>
      <c r="DT1174" s="406"/>
      <c r="DU1174" s="406"/>
      <c r="DV1174" s="406"/>
      <c r="DW1174" s="406"/>
      <c r="DX1174" s="406"/>
      <c r="DY1174" s="406"/>
      <c r="DZ1174" s="406"/>
    </row>
    <row r="1175" spans="1:130" hidden="1" outlineLevel="2">
      <c r="A1175" s="494"/>
      <c r="B1175" s="523"/>
      <c r="C1175" s="419"/>
      <c r="D1175" s="420"/>
      <c r="E1175" s="380"/>
      <c r="F1175" s="547"/>
      <c r="G1175" s="380"/>
      <c r="H1175" s="381"/>
      <c r="I1175" s="380" t="s">
        <v>3404</v>
      </c>
      <c r="J1175" s="382"/>
      <c r="K1175" s="494"/>
      <c r="L1175" s="494"/>
      <c r="M1175" s="506" t="s">
        <v>813</v>
      </c>
      <c r="N1175" s="506">
        <v>2</v>
      </c>
    </row>
    <row r="1176" spans="1:130" s="407" customFormat="1" ht="99" customHeight="1" outlineLevel="1" collapsed="1">
      <c r="A1176" s="489" t="s">
        <v>1777</v>
      </c>
      <c r="B1176" s="490"/>
      <c r="C1176" s="398" t="s">
        <v>346</v>
      </c>
      <c r="D1176" s="399" t="s">
        <v>391</v>
      </c>
      <c r="E1176" s="490" t="s">
        <v>3407</v>
      </c>
      <c r="F1176" s="385" t="s">
        <v>3402</v>
      </c>
      <c r="G1176" s="385"/>
      <c r="H1176" s="401" t="s">
        <v>1818</v>
      </c>
      <c r="I1176" s="385" t="str">
        <f>CONCATENATE(I1177," ",H1177," ","-",N1177," ",M1177)</f>
        <v>ремонт дуговой защиты  -2 шт</v>
      </c>
      <c r="J1176" s="489" t="s">
        <v>365</v>
      </c>
      <c r="K1176" s="450">
        <v>44317</v>
      </c>
      <c r="L1176" s="450">
        <v>44500</v>
      </c>
      <c r="M1176" s="490"/>
      <c r="N1176" s="490"/>
      <c r="O1176" s="406"/>
      <c r="P1176" s="406"/>
      <c r="Q1176" s="406"/>
      <c r="R1176" s="406"/>
      <c r="S1176" s="406"/>
      <c r="T1176" s="406"/>
      <c r="U1176" s="406"/>
      <c r="V1176" s="406"/>
      <c r="W1176" s="406"/>
      <c r="X1176" s="406"/>
      <c r="Y1176" s="406"/>
      <c r="Z1176" s="406"/>
      <c r="AA1176" s="406"/>
      <c r="AB1176" s="406"/>
      <c r="AC1176" s="406"/>
      <c r="AD1176" s="406"/>
      <c r="AE1176" s="406"/>
      <c r="AF1176" s="406"/>
      <c r="AG1176" s="406"/>
      <c r="AH1176" s="406"/>
      <c r="AI1176" s="406"/>
      <c r="AJ1176" s="406"/>
      <c r="AK1176" s="406"/>
      <c r="AL1176" s="406"/>
      <c r="AM1176" s="406"/>
      <c r="AN1176" s="406"/>
      <c r="AO1176" s="406"/>
      <c r="AP1176" s="406"/>
      <c r="AQ1176" s="406"/>
      <c r="AR1176" s="406"/>
      <c r="AS1176" s="406"/>
      <c r="AT1176" s="406"/>
      <c r="AU1176" s="406"/>
      <c r="AV1176" s="406"/>
      <c r="AW1176" s="406"/>
      <c r="AX1176" s="406"/>
      <c r="AY1176" s="406"/>
      <c r="AZ1176" s="406"/>
      <c r="BA1176" s="406"/>
      <c r="BB1176" s="406"/>
      <c r="BC1176" s="406"/>
      <c r="BD1176" s="406"/>
      <c r="BE1176" s="406"/>
      <c r="BF1176" s="406"/>
      <c r="BG1176" s="406"/>
      <c r="BH1176" s="406"/>
      <c r="BI1176" s="406"/>
      <c r="BJ1176" s="406"/>
      <c r="BK1176" s="406"/>
      <c r="BL1176" s="406"/>
      <c r="BM1176" s="406"/>
      <c r="BN1176" s="406"/>
      <c r="BO1176" s="406"/>
      <c r="BP1176" s="406"/>
      <c r="BQ1176" s="406"/>
      <c r="BR1176" s="406"/>
      <c r="BS1176" s="406"/>
      <c r="BT1176" s="406"/>
      <c r="BU1176" s="406"/>
      <c r="BV1176" s="406"/>
      <c r="BW1176" s="406"/>
      <c r="BX1176" s="406"/>
      <c r="BY1176" s="406"/>
      <c r="BZ1176" s="406"/>
      <c r="CA1176" s="406"/>
      <c r="CB1176" s="406"/>
      <c r="CC1176" s="406"/>
      <c r="CD1176" s="406"/>
      <c r="CE1176" s="406"/>
      <c r="CF1176" s="406"/>
      <c r="CG1176" s="406"/>
      <c r="CH1176" s="406"/>
      <c r="CI1176" s="406"/>
      <c r="CJ1176" s="406"/>
      <c r="CK1176" s="406"/>
      <c r="CL1176" s="406"/>
      <c r="CM1176" s="406"/>
      <c r="CN1176" s="406"/>
      <c r="CO1176" s="406"/>
      <c r="CP1176" s="406"/>
      <c r="CQ1176" s="406"/>
      <c r="CR1176" s="406"/>
      <c r="CS1176" s="406"/>
      <c r="CT1176" s="406"/>
      <c r="CU1176" s="406"/>
      <c r="CV1176" s="406"/>
      <c r="CW1176" s="406"/>
      <c r="CX1176" s="406"/>
      <c r="CY1176" s="406"/>
      <c r="CZ1176" s="406"/>
      <c r="DA1176" s="406"/>
      <c r="DB1176" s="406"/>
      <c r="DC1176" s="406"/>
      <c r="DD1176" s="406"/>
      <c r="DE1176" s="406"/>
      <c r="DF1176" s="406"/>
      <c r="DG1176" s="406"/>
      <c r="DH1176" s="406"/>
      <c r="DI1176" s="406"/>
      <c r="DJ1176" s="406"/>
      <c r="DK1176" s="406"/>
      <c r="DL1176" s="406"/>
      <c r="DM1176" s="406"/>
      <c r="DN1176" s="406"/>
      <c r="DO1176" s="406"/>
      <c r="DP1176" s="406"/>
      <c r="DQ1176" s="406"/>
      <c r="DR1176" s="406"/>
      <c r="DS1176" s="406"/>
      <c r="DT1176" s="406"/>
      <c r="DU1176" s="406"/>
      <c r="DV1176" s="406"/>
      <c r="DW1176" s="406"/>
      <c r="DX1176" s="406"/>
      <c r="DY1176" s="406"/>
      <c r="DZ1176" s="406"/>
    </row>
    <row r="1177" spans="1:130" hidden="1" outlineLevel="2">
      <c r="A1177" s="494"/>
      <c r="B1177" s="523"/>
      <c r="C1177" s="419"/>
      <c r="D1177" s="420"/>
      <c r="E1177" s="380"/>
      <c r="F1177" s="547"/>
      <c r="G1177" s="380"/>
      <c r="H1177" s="381"/>
      <c r="I1177" s="380" t="s">
        <v>3404</v>
      </c>
      <c r="J1177" s="382"/>
      <c r="K1177" s="494"/>
      <c r="L1177" s="494"/>
      <c r="M1177" s="506" t="s">
        <v>813</v>
      </c>
      <c r="N1177" s="506">
        <v>2</v>
      </c>
    </row>
    <row r="1178" spans="1:130" s="407" customFormat="1" ht="99" customHeight="1" outlineLevel="1" collapsed="1">
      <c r="A1178" s="489" t="s">
        <v>1778</v>
      </c>
      <c r="B1178" s="490"/>
      <c r="C1178" s="398" t="s">
        <v>346</v>
      </c>
      <c r="D1178" s="399" t="s">
        <v>391</v>
      </c>
      <c r="E1178" s="490" t="s">
        <v>3408</v>
      </c>
      <c r="F1178" s="385" t="s">
        <v>3402</v>
      </c>
      <c r="G1178" s="385"/>
      <c r="H1178" s="401" t="s">
        <v>708</v>
      </c>
      <c r="I1178" s="385" t="str">
        <f>CONCATENATE(I1179," ",H1179," ","-",N1179," ",M1179)</f>
        <v>ремонт дуговой защиты  -2 шт</v>
      </c>
      <c r="J1178" s="489" t="s">
        <v>365</v>
      </c>
      <c r="K1178" s="450">
        <v>44317</v>
      </c>
      <c r="L1178" s="450">
        <v>44500</v>
      </c>
      <c r="M1178" s="490"/>
      <c r="N1178" s="490"/>
      <c r="O1178" s="406"/>
      <c r="P1178" s="406"/>
      <c r="Q1178" s="406"/>
      <c r="R1178" s="406"/>
      <c r="S1178" s="406"/>
      <c r="T1178" s="406"/>
      <c r="U1178" s="406"/>
      <c r="V1178" s="406"/>
      <c r="W1178" s="406"/>
      <c r="X1178" s="406"/>
      <c r="Y1178" s="406"/>
      <c r="Z1178" s="406"/>
      <c r="AA1178" s="406"/>
      <c r="AB1178" s="406"/>
      <c r="AC1178" s="406"/>
      <c r="AD1178" s="406"/>
      <c r="AE1178" s="406"/>
      <c r="AF1178" s="406"/>
      <c r="AG1178" s="406"/>
      <c r="AH1178" s="406"/>
      <c r="AI1178" s="406"/>
      <c r="AJ1178" s="406"/>
      <c r="AK1178" s="406"/>
      <c r="AL1178" s="406"/>
      <c r="AM1178" s="406"/>
      <c r="AN1178" s="406"/>
      <c r="AO1178" s="406"/>
      <c r="AP1178" s="406"/>
      <c r="AQ1178" s="406"/>
      <c r="AR1178" s="406"/>
      <c r="AS1178" s="406"/>
      <c r="AT1178" s="406"/>
      <c r="AU1178" s="406"/>
      <c r="AV1178" s="406"/>
      <c r="AW1178" s="406"/>
      <c r="AX1178" s="406"/>
      <c r="AY1178" s="406"/>
      <c r="AZ1178" s="406"/>
      <c r="BA1178" s="406"/>
      <c r="BB1178" s="406"/>
      <c r="BC1178" s="406"/>
      <c r="BD1178" s="406"/>
      <c r="BE1178" s="406"/>
      <c r="BF1178" s="406"/>
      <c r="BG1178" s="406"/>
      <c r="BH1178" s="406"/>
      <c r="BI1178" s="406"/>
      <c r="BJ1178" s="406"/>
      <c r="BK1178" s="406"/>
      <c r="BL1178" s="406"/>
      <c r="BM1178" s="406"/>
      <c r="BN1178" s="406"/>
      <c r="BO1178" s="406"/>
      <c r="BP1178" s="406"/>
      <c r="BQ1178" s="406"/>
      <c r="BR1178" s="406"/>
      <c r="BS1178" s="406"/>
      <c r="BT1178" s="406"/>
      <c r="BU1178" s="406"/>
      <c r="BV1178" s="406"/>
      <c r="BW1178" s="406"/>
      <c r="BX1178" s="406"/>
      <c r="BY1178" s="406"/>
      <c r="BZ1178" s="406"/>
      <c r="CA1178" s="406"/>
      <c r="CB1178" s="406"/>
      <c r="CC1178" s="406"/>
      <c r="CD1178" s="406"/>
      <c r="CE1178" s="406"/>
      <c r="CF1178" s="406"/>
      <c r="CG1178" s="406"/>
      <c r="CH1178" s="406"/>
      <c r="CI1178" s="406"/>
      <c r="CJ1178" s="406"/>
      <c r="CK1178" s="406"/>
      <c r="CL1178" s="406"/>
      <c r="CM1178" s="406"/>
      <c r="CN1178" s="406"/>
      <c r="CO1178" s="406"/>
      <c r="CP1178" s="406"/>
      <c r="CQ1178" s="406"/>
      <c r="CR1178" s="406"/>
      <c r="CS1178" s="406"/>
      <c r="CT1178" s="406"/>
      <c r="CU1178" s="406"/>
      <c r="CV1178" s="406"/>
      <c r="CW1178" s="406"/>
      <c r="CX1178" s="406"/>
      <c r="CY1178" s="406"/>
      <c r="CZ1178" s="406"/>
      <c r="DA1178" s="406"/>
      <c r="DB1178" s="406"/>
      <c r="DC1178" s="406"/>
      <c r="DD1178" s="406"/>
      <c r="DE1178" s="406"/>
      <c r="DF1178" s="406"/>
      <c r="DG1178" s="406"/>
      <c r="DH1178" s="406"/>
      <c r="DI1178" s="406"/>
      <c r="DJ1178" s="406"/>
      <c r="DK1178" s="406"/>
      <c r="DL1178" s="406"/>
      <c r="DM1178" s="406"/>
      <c r="DN1178" s="406"/>
      <c r="DO1178" s="406"/>
      <c r="DP1178" s="406"/>
      <c r="DQ1178" s="406"/>
      <c r="DR1178" s="406"/>
      <c r="DS1178" s="406"/>
      <c r="DT1178" s="406"/>
      <c r="DU1178" s="406"/>
      <c r="DV1178" s="406"/>
      <c r="DW1178" s="406"/>
      <c r="DX1178" s="406"/>
      <c r="DY1178" s="406"/>
      <c r="DZ1178" s="406"/>
    </row>
    <row r="1179" spans="1:130" hidden="1" outlineLevel="2">
      <c r="A1179" s="494"/>
      <c r="B1179" s="523"/>
      <c r="C1179" s="419"/>
      <c r="D1179" s="420"/>
      <c r="E1179" s="380"/>
      <c r="F1179" s="547"/>
      <c r="G1179" s="380"/>
      <c r="H1179" s="381"/>
      <c r="I1179" s="380" t="s">
        <v>3404</v>
      </c>
      <c r="J1179" s="382"/>
      <c r="K1179" s="494"/>
      <c r="L1179" s="494"/>
      <c r="M1179" s="506" t="s">
        <v>813</v>
      </c>
      <c r="N1179" s="506">
        <v>2</v>
      </c>
    </row>
    <row r="1180" spans="1:130" s="407" customFormat="1" ht="99" customHeight="1" outlineLevel="1" collapsed="1">
      <c r="A1180" s="489" t="s">
        <v>1779</v>
      </c>
      <c r="B1180" s="490"/>
      <c r="C1180" s="398" t="s">
        <v>346</v>
      </c>
      <c r="D1180" s="399" t="s">
        <v>391</v>
      </c>
      <c r="E1180" s="490" t="s">
        <v>3409</v>
      </c>
      <c r="F1180" s="385" t="s">
        <v>3402</v>
      </c>
      <c r="G1180" s="385"/>
      <c r="H1180" s="401" t="s">
        <v>3410</v>
      </c>
      <c r="I1180" s="385" t="str">
        <f>CONCATENATE(I1181," ",H1181," ","-",N1181," ",M1181)</f>
        <v>ремонт дуговой защиты  -2 шт</v>
      </c>
      <c r="J1180" s="489" t="s">
        <v>365</v>
      </c>
      <c r="K1180" s="450">
        <v>44317</v>
      </c>
      <c r="L1180" s="450">
        <v>44500</v>
      </c>
      <c r="M1180" s="490"/>
      <c r="N1180" s="490"/>
      <c r="O1180" s="406"/>
      <c r="P1180" s="406"/>
      <c r="Q1180" s="406"/>
      <c r="R1180" s="406"/>
      <c r="S1180" s="406"/>
      <c r="T1180" s="406"/>
      <c r="U1180" s="406"/>
      <c r="V1180" s="406"/>
      <c r="W1180" s="406"/>
      <c r="X1180" s="406"/>
      <c r="Y1180" s="406"/>
      <c r="Z1180" s="406"/>
      <c r="AA1180" s="406"/>
      <c r="AB1180" s="406"/>
      <c r="AC1180" s="406"/>
      <c r="AD1180" s="406"/>
      <c r="AE1180" s="406"/>
      <c r="AF1180" s="406"/>
      <c r="AG1180" s="406"/>
      <c r="AH1180" s="406"/>
      <c r="AI1180" s="406"/>
      <c r="AJ1180" s="406"/>
      <c r="AK1180" s="406"/>
      <c r="AL1180" s="406"/>
      <c r="AM1180" s="406"/>
      <c r="AN1180" s="406"/>
      <c r="AO1180" s="406"/>
      <c r="AP1180" s="406"/>
      <c r="AQ1180" s="406"/>
      <c r="AR1180" s="406"/>
      <c r="AS1180" s="406"/>
      <c r="AT1180" s="406"/>
      <c r="AU1180" s="406"/>
      <c r="AV1180" s="406"/>
      <c r="AW1180" s="406"/>
      <c r="AX1180" s="406"/>
      <c r="AY1180" s="406"/>
      <c r="AZ1180" s="406"/>
      <c r="BA1180" s="406"/>
      <c r="BB1180" s="406"/>
      <c r="BC1180" s="406"/>
      <c r="BD1180" s="406"/>
      <c r="BE1180" s="406"/>
      <c r="BF1180" s="406"/>
      <c r="BG1180" s="406"/>
      <c r="BH1180" s="406"/>
      <c r="BI1180" s="406"/>
      <c r="BJ1180" s="406"/>
      <c r="BK1180" s="406"/>
      <c r="BL1180" s="406"/>
      <c r="BM1180" s="406"/>
      <c r="BN1180" s="406"/>
      <c r="BO1180" s="406"/>
      <c r="BP1180" s="406"/>
      <c r="BQ1180" s="406"/>
      <c r="BR1180" s="406"/>
      <c r="BS1180" s="406"/>
      <c r="BT1180" s="406"/>
      <c r="BU1180" s="406"/>
      <c r="BV1180" s="406"/>
      <c r="BW1180" s="406"/>
      <c r="BX1180" s="406"/>
      <c r="BY1180" s="406"/>
      <c r="BZ1180" s="406"/>
      <c r="CA1180" s="406"/>
      <c r="CB1180" s="406"/>
      <c r="CC1180" s="406"/>
      <c r="CD1180" s="406"/>
      <c r="CE1180" s="406"/>
      <c r="CF1180" s="406"/>
      <c r="CG1180" s="406"/>
      <c r="CH1180" s="406"/>
      <c r="CI1180" s="406"/>
      <c r="CJ1180" s="406"/>
      <c r="CK1180" s="406"/>
      <c r="CL1180" s="406"/>
      <c r="CM1180" s="406"/>
      <c r="CN1180" s="406"/>
      <c r="CO1180" s="406"/>
      <c r="CP1180" s="406"/>
      <c r="CQ1180" s="406"/>
      <c r="CR1180" s="406"/>
      <c r="CS1180" s="406"/>
      <c r="CT1180" s="406"/>
      <c r="CU1180" s="406"/>
      <c r="CV1180" s="406"/>
      <c r="CW1180" s="406"/>
      <c r="CX1180" s="406"/>
      <c r="CY1180" s="406"/>
      <c r="CZ1180" s="406"/>
      <c r="DA1180" s="406"/>
      <c r="DB1180" s="406"/>
      <c r="DC1180" s="406"/>
      <c r="DD1180" s="406"/>
      <c r="DE1180" s="406"/>
      <c r="DF1180" s="406"/>
      <c r="DG1180" s="406"/>
      <c r="DH1180" s="406"/>
      <c r="DI1180" s="406"/>
      <c r="DJ1180" s="406"/>
      <c r="DK1180" s="406"/>
      <c r="DL1180" s="406"/>
      <c r="DM1180" s="406"/>
      <c r="DN1180" s="406"/>
      <c r="DO1180" s="406"/>
      <c r="DP1180" s="406"/>
      <c r="DQ1180" s="406"/>
      <c r="DR1180" s="406"/>
      <c r="DS1180" s="406"/>
      <c r="DT1180" s="406"/>
      <c r="DU1180" s="406"/>
      <c r="DV1180" s="406"/>
      <c r="DW1180" s="406"/>
      <c r="DX1180" s="406"/>
      <c r="DY1180" s="406"/>
      <c r="DZ1180" s="406"/>
    </row>
    <row r="1181" spans="1:130" hidden="1" outlineLevel="2">
      <c r="A1181" s="494"/>
      <c r="B1181" s="523"/>
      <c r="C1181" s="419"/>
      <c r="D1181" s="420"/>
      <c r="E1181" s="380"/>
      <c r="F1181" s="547"/>
      <c r="G1181" s="380"/>
      <c r="H1181" s="381"/>
      <c r="I1181" s="380" t="s">
        <v>3404</v>
      </c>
      <c r="J1181" s="382"/>
      <c r="K1181" s="494"/>
      <c r="L1181" s="494"/>
      <c r="M1181" s="506" t="s">
        <v>813</v>
      </c>
      <c r="N1181" s="506">
        <v>2</v>
      </c>
    </row>
    <row r="1182" spans="1:130" s="407" customFormat="1" ht="99" customHeight="1" outlineLevel="1" collapsed="1">
      <c r="A1182" s="489" t="s">
        <v>1780</v>
      </c>
      <c r="B1182" s="490"/>
      <c r="C1182" s="398" t="s">
        <v>346</v>
      </c>
      <c r="D1182" s="399" t="s">
        <v>391</v>
      </c>
      <c r="E1182" s="490" t="s">
        <v>3411</v>
      </c>
      <c r="F1182" s="385" t="s">
        <v>3402</v>
      </c>
      <c r="G1182" s="385"/>
      <c r="H1182" s="401" t="s">
        <v>750</v>
      </c>
      <c r="I1182" s="385" t="str">
        <f>CONCATENATE(I1183," ",H1183," ","-",N1183," ",M1183)</f>
        <v>ремонт дуговой защиты  -2 шт</v>
      </c>
      <c r="J1182" s="489" t="s">
        <v>365</v>
      </c>
      <c r="K1182" s="450">
        <v>44317</v>
      </c>
      <c r="L1182" s="450">
        <v>44500</v>
      </c>
      <c r="M1182" s="490"/>
      <c r="N1182" s="490"/>
      <c r="O1182" s="406"/>
      <c r="P1182" s="406"/>
      <c r="Q1182" s="406"/>
      <c r="R1182" s="406"/>
      <c r="S1182" s="406"/>
      <c r="T1182" s="406"/>
      <c r="U1182" s="406"/>
      <c r="V1182" s="406"/>
      <c r="W1182" s="406"/>
      <c r="X1182" s="406"/>
      <c r="Y1182" s="406"/>
      <c r="Z1182" s="406"/>
      <c r="AA1182" s="406"/>
      <c r="AB1182" s="406"/>
      <c r="AC1182" s="406"/>
      <c r="AD1182" s="406"/>
      <c r="AE1182" s="406"/>
      <c r="AF1182" s="406"/>
      <c r="AG1182" s="406"/>
      <c r="AH1182" s="406"/>
      <c r="AI1182" s="406"/>
      <c r="AJ1182" s="406"/>
      <c r="AK1182" s="406"/>
      <c r="AL1182" s="406"/>
      <c r="AM1182" s="406"/>
      <c r="AN1182" s="406"/>
      <c r="AO1182" s="406"/>
      <c r="AP1182" s="406"/>
      <c r="AQ1182" s="406"/>
      <c r="AR1182" s="406"/>
      <c r="AS1182" s="406"/>
      <c r="AT1182" s="406"/>
      <c r="AU1182" s="406"/>
      <c r="AV1182" s="406"/>
      <c r="AW1182" s="406"/>
      <c r="AX1182" s="406"/>
      <c r="AY1182" s="406"/>
      <c r="AZ1182" s="406"/>
      <c r="BA1182" s="406"/>
      <c r="BB1182" s="406"/>
      <c r="BC1182" s="406"/>
      <c r="BD1182" s="406"/>
      <c r="BE1182" s="406"/>
      <c r="BF1182" s="406"/>
      <c r="BG1182" s="406"/>
      <c r="BH1182" s="406"/>
      <c r="BI1182" s="406"/>
      <c r="BJ1182" s="406"/>
      <c r="BK1182" s="406"/>
      <c r="BL1182" s="406"/>
      <c r="BM1182" s="406"/>
      <c r="BN1182" s="406"/>
      <c r="BO1182" s="406"/>
      <c r="BP1182" s="406"/>
      <c r="BQ1182" s="406"/>
      <c r="BR1182" s="406"/>
      <c r="BS1182" s="406"/>
      <c r="BT1182" s="406"/>
      <c r="BU1182" s="406"/>
      <c r="BV1182" s="406"/>
      <c r="BW1182" s="406"/>
      <c r="BX1182" s="406"/>
      <c r="BY1182" s="406"/>
      <c r="BZ1182" s="406"/>
      <c r="CA1182" s="406"/>
      <c r="CB1182" s="406"/>
      <c r="CC1182" s="406"/>
      <c r="CD1182" s="406"/>
      <c r="CE1182" s="406"/>
      <c r="CF1182" s="406"/>
      <c r="CG1182" s="406"/>
      <c r="CH1182" s="406"/>
      <c r="CI1182" s="406"/>
      <c r="CJ1182" s="406"/>
      <c r="CK1182" s="406"/>
      <c r="CL1182" s="406"/>
      <c r="CM1182" s="406"/>
      <c r="CN1182" s="406"/>
      <c r="CO1182" s="406"/>
      <c r="CP1182" s="406"/>
      <c r="CQ1182" s="406"/>
      <c r="CR1182" s="406"/>
      <c r="CS1182" s="406"/>
      <c r="CT1182" s="406"/>
      <c r="CU1182" s="406"/>
      <c r="CV1182" s="406"/>
      <c r="CW1182" s="406"/>
      <c r="CX1182" s="406"/>
      <c r="CY1182" s="406"/>
      <c r="CZ1182" s="406"/>
      <c r="DA1182" s="406"/>
      <c r="DB1182" s="406"/>
      <c r="DC1182" s="406"/>
      <c r="DD1182" s="406"/>
      <c r="DE1182" s="406"/>
      <c r="DF1182" s="406"/>
      <c r="DG1182" s="406"/>
      <c r="DH1182" s="406"/>
      <c r="DI1182" s="406"/>
      <c r="DJ1182" s="406"/>
      <c r="DK1182" s="406"/>
      <c r="DL1182" s="406"/>
      <c r="DM1182" s="406"/>
      <c r="DN1182" s="406"/>
      <c r="DO1182" s="406"/>
      <c r="DP1182" s="406"/>
      <c r="DQ1182" s="406"/>
      <c r="DR1182" s="406"/>
      <c r="DS1182" s="406"/>
      <c r="DT1182" s="406"/>
      <c r="DU1182" s="406"/>
      <c r="DV1182" s="406"/>
      <c r="DW1182" s="406"/>
      <c r="DX1182" s="406"/>
      <c r="DY1182" s="406"/>
      <c r="DZ1182" s="406"/>
    </row>
    <row r="1183" spans="1:130" hidden="1" outlineLevel="2">
      <c r="A1183" s="494"/>
      <c r="B1183" s="523"/>
      <c r="C1183" s="419"/>
      <c r="D1183" s="420"/>
      <c r="E1183" s="380"/>
      <c r="F1183" s="547"/>
      <c r="G1183" s="380"/>
      <c r="H1183" s="381"/>
      <c r="I1183" s="380" t="s">
        <v>3404</v>
      </c>
      <c r="J1183" s="382"/>
      <c r="K1183" s="494"/>
      <c r="L1183" s="494"/>
      <c r="M1183" s="506" t="s">
        <v>813</v>
      </c>
      <c r="N1183" s="506">
        <v>2</v>
      </c>
    </row>
    <row r="1184" spans="1:130" s="407" customFormat="1" ht="99" customHeight="1" outlineLevel="1" collapsed="1">
      <c r="A1184" s="489" t="s">
        <v>1781</v>
      </c>
      <c r="B1184" s="490"/>
      <c r="C1184" s="398" t="s">
        <v>346</v>
      </c>
      <c r="D1184" s="399" t="s">
        <v>391</v>
      </c>
      <c r="E1184" s="490" t="s">
        <v>3412</v>
      </c>
      <c r="F1184" s="385" t="s">
        <v>3402</v>
      </c>
      <c r="G1184" s="385"/>
      <c r="H1184" s="401" t="s">
        <v>635</v>
      </c>
      <c r="I1184" s="385" t="str">
        <f>CONCATENATE(I1185," ",H1185," ","-",N1185," ",M1185)</f>
        <v>ремонт дуговой защиты  -2 шт</v>
      </c>
      <c r="J1184" s="489" t="s">
        <v>365</v>
      </c>
      <c r="K1184" s="450">
        <v>44317</v>
      </c>
      <c r="L1184" s="450">
        <v>44500</v>
      </c>
      <c r="M1184" s="490"/>
      <c r="N1184" s="490"/>
      <c r="O1184" s="406"/>
      <c r="P1184" s="406"/>
      <c r="Q1184" s="406"/>
      <c r="R1184" s="406"/>
      <c r="S1184" s="406"/>
      <c r="T1184" s="406"/>
      <c r="U1184" s="406"/>
      <c r="V1184" s="406"/>
      <c r="W1184" s="406"/>
      <c r="X1184" s="406"/>
      <c r="Y1184" s="406"/>
      <c r="Z1184" s="406"/>
      <c r="AA1184" s="406"/>
      <c r="AB1184" s="406"/>
      <c r="AC1184" s="406"/>
      <c r="AD1184" s="406"/>
      <c r="AE1184" s="406"/>
      <c r="AF1184" s="406"/>
      <c r="AG1184" s="406"/>
      <c r="AH1184" s="406"/>
      <c r="AI1184" s="406"/>
      <c r="AJ1184" s="406"/>
      <c r="AK1184" s="406"/>
      <c r="AL1184" s="406"/>
      <c r="AM1184" s="406"/>
      <c r="AN1184" s="406"/>
      <c r="AO1184" s="406"/>
      <c r="AP1184" s="406"/>
      <c r="AQ1184" s="406"/>
      <c r="AR1184" s="406"/>
      <c r="AS1184" s="406"/>
      <c r="AT1184" s="406"/>
      <c r="AU1184" s="406"/>
      <c r="AV1184" s="406"/>
      <c r="AW1184" s="406"/>
      <c r="AX1184" s="406"/>
      <c r="AY1184" s="406"/>
      <c r="AZ1184" s="406"/>
      <c r="BA1184" s="406"/>
      <c r="BB1184" s="406"/>
      <c r="BC1184" s="406"/>
      <c r="BD1184" s="406"/>
      <c r="BE1184" s="406"/>
      <c r="BF1184" s="406"/>
      <c r="BG1184" s="406"/>
      <c r="BH1184" s="406"/>
      <c r="BI1184" s="406"/>
      <c r="BJ1184" s="406"/>
      <c r="BK1184" s="406"/>
      <c r="BL1184" s="406"/>
      <c r="BM1184" s="406"/>
      <c r="BN1184" s="406"/>
      <c r="BO1184" s="406"/>
      <c r="BP1184" s="406"/>
      <c r="BQ1184" s="406"/>
      <c r="BR1184" s="406"/>
      <c r="BS1184" s="406"/>
      <c r="BT1184" s="406"/>
      <c r="BU1184" s="406"/>
      <c r="BV1184" s="406"/>
      <c r="BW1184" s="406"/>
      <c r="BX1184" s="406"/>
      <c r="BY1184" s="406"/>
      <c r="BZ1184" s="406"/>
      <c r="CA1184" s="406"/>
      <c r="CB1184" s="406"/>
      <c r="CC1184" s="406"/>
      <c r="CD1184" s="406"/>
      <c r="CE1184" s="406"/>
      <c r="CF1184" s="406"/>
      <c r="CG1184" s="406"/>
      <c r="CH1184" s="406"/>
      <c r="CI1184" s="406"/>
      <c r="CJ1184" s="406"/>
      <c r="CK1184" s="406"/>
      <c r="CL1184" s="406"/>
      <c r="CM1184" s="406"/>
      <c r="CN1184" s="406"/>
      <c r="CO1184" s="406"/>
      <c r="CP1184" s="406"/>
      <c r="CQ1184" s="406"/>
      <c r="CR1184" s="406"/>
      <c r="CS1184" s="406"/>
      <c r="CT1184" s="406"/>
      <c r="CU1184" s="406"/>
      <c r="CV1184" s="406"/>
      <c r="CW1184" s="406"/>
      <c r="CX1184" s="406"/>
      <c r="CY1184" s="406"/>
      <c r="CZ1184" s="406"/>
      <c r="DA1184" s="406"/>
      <c r="DB1184" s="406"/>
      <c r="DC1184" s="406"/>
      <c r="DD1184" s="406"/>
      <c r="DE1184" s="406"/>
      <c r="DF1184" s="406"/>
      <c r="DG1184" s="406"/>
      <c r="DH1184" s="406"/>
      <c r="DI1184" s="406"/>
      <c r="DJ1184" s="406"/>
      <c r="DK1184" s="406"/>
      <c r="DL1184" s="406"/>
      <c r="DM1184" s="406"/>
      <c r="DN1184" s="406"/>
      <c r="DO1184" s="406"/>
      <c r="DP1184" s="406"/>
      <c r="DQ1184" s="406"/>
      <c r="DR1184" s="406"/>
      <c r="DS1184" s="406"/>
      <c r="DT1184" s="406"/>
      <c r="DU1184" s="406"/>
      <c r="DV1184" s="406"/>
      <c r="DW1184" s="406"/>
      <c r="DX1184" s="406"/>
      <c r="DY1184" s="406"/>
      <c r="DZ1184" s="406"/>
    </row>
    <row r="1185" spans="1:130" hidden="1" outlineLevel="2">
      <c r="A1185" s="494"/>
      <c r="B1185" s="523"/>
      <c r="C1185" s="419"/>
      <c r="D1185" s="420"/>
      <c r="E1185" s="380"/>
      <c r="F1185" s="547"/>
      <c r="G1185" s="380"/>
      <c r="H1185" s="381"/>
      <c r="I1185" s="380" t="s">
        <v>3404</v>
      </c>
      <c r="J1185" s="382"/>
      <c r="K1185" s="494"/>
      <c r="L1185" s="494"/>
      <c r="M1185" s="506" t="s">
        <v>813</v>
      </c>
      <c r="N1185" s="506">
        <v>2</v>
      </c>
    </row>
    <row r="1186" spans="1:130" s="407" customFormat="1" ht="99" customHeight="1" outlineLevel="1" collapsed="1">
      <c r="A1186" s="489" t="s">
        <v>1782</v>
      </c>
      <c r="B1186" s="490"/>
      <c r="C1186" s="398" t="s">
        <v>346</v>
      </c>
      <c r="D1186" s="399" t="s">
        <v>391</v>
      </c>
      <c r="E1186" s="490" t="s">
        <v>3413</v>
      </c>
      <c r="F1186" s="385" t="s">
        <v>3402</v>
      </c>
      <c r="G1186" s="385"/>
      <c r="H1186" s="401" t="s">
        <v>3414</v>
      </c>
      <c r="I1186" s="385" t="str">
        <f>CONCATENATE(I1187," ",H1187," ","-",N1187," ",M1187)</f>
        <v>ремонт дуговой защиты  -2 шт</v>
      </c>
      <c r="J1186" s="489" t="s">
        <v>365</v>
      </c>
      <c r="K1186" s="450">
        <v>44317</v>
      </c>
      <c r="L1186" s="450">
        <v>44500</v>
      </c>
      <c r="M1186" s="490"/>
      <c r="N1186" s="490"/>
      <c r="O1186" s="406"/>
      <c r="P1186" s="406"/>
      <c r="Q1186" s="406"/>
      <c r="R1186" s="406"/>
      <c r="S1186" s="406"/>
      <c r="T1186" s="406"/>
      <c r="U1186" s="406"/>
      <c r="V1186" s="406"/>
      <c r="W1186" s="406"/>
      <c r="X1186" s="406"/>
      <c r="Y1186" s="406"/>
      <c r="Z1186" s="406"/>
      <c r="AA1186" s="406"/>
      <c r="AB1186" s="406"/>
      <c r="AC1186" s="406"/>
      <c r="AD1186" s="406"/>
      <c r="AE1186" s="406"/>
      <c r="AF1186" s="406"/>
      <c r="AG1186" s="406"/>
      <c r="AH1186" s="406"/>
      <c r="AI1186" s="406"/>
      <c r="AJ1186" s="406"/>
      <c r="AK1186" s="406"/>
      <c r="AL1186" s="406"/>
      <c r="AM1186" s="406"/>
      <c r="AN1186" s="406"/>
      <c r="AO1186" s="406"/>
      <c r="AP1186" s="406"/>
      <c r="AQ1186" s="406"/>
      <c r="AR1186" s="406"/>
      <c r="AS1186" s="406"/>
      <c r="AT1186" s="406"/>
      <c r="AU1186" s="406"/>
      <c r="AV1186" s="406"/>
      <c r="AW1186" s="406"/>
      <c r="AX1186" s="406"/>
      <c r="AY1186" s="406"/>
      <c r="AZ1186" s="406"/>
      <c r="BA1186" s="406"/>
      <c r="BB1186" s="406"/>
      <c r="BC1186" s="406"/>
      <c r="BD1186" s="406"/>
      <c r="BE1186" s="406"/>
      <c r="BF1186" s="406"/>
      <c r="BG1186" s="406"/>
      <c r="BH1186" s="406"/>
      <c r="BI1186" s="406"/>
      <c r="BJ1186" s="406"/>
      <c r="BK1186" s="406"/>
      <c r="BL1186" s="406"/>
      <c r="BM1186" s="406"/>
      <c r="BN1186" s="406"/>
      <c r="BO1186" s="406"/>
      <c r="BP1186" s="406"/>
      <c r="BQ1186" s="406"/>
      <c r="BR1186" s="406"/>
      <c r="BS1186" s="406"/>
      <c r="BT1186" s="406"/>
      <c r="BU1186" s="406"/>
      <c r="BV1186" s="406"/>
      <c r="BW1186" s="406"/>
      <c r="BX1186" s="406"/>
      <c r="BY1186" s="406"/>
      <c r="BZ1186" s="406"/>
      <c r="CA1186" s="406"/>
      <c r="CB1186" s="406"/>
      <c r="CC1186" s="406"/>
      <c r="CD1186" s="406"/>
      <c r="CE1186" s="406"/>
      <c r="CF1186" s="406"/>
      <c r="CG1186" s="406"/>
      <c r="CH1186" s="406"/>
      <c r="CI1186" s="406"/>
      <c r="CJ1186" s="406"/>
      <c r="CK1186" s="406"/>
      <c r="CL1186" s="406"/>
      <c r="CM1186" s="406"/>
      <c r="CN1186" s="406"/>
      <c r="CO1186" s="406"/>
      <c r="CP1186" s="406"/>
      <c r="CQ1186" s="406"/>
      <c r="CR1186" s="406"/>
      <c r="CS1186" s="406"/>
      <c r="CT1186" s="406"/>
      <c r="CU1186" s="406"/>
      <c r="CV1186" s="406"/>
      <c r="CW1186" s="406"/>
      <c r="CX1186" s="406"/>
      <c r="CY1186" s="406"/>
      <c r="CZ1186" s="406"/>
      <c r="DA1186" s="406"/>
      <c r="DB1186" s="406"/>
      <c r="DC1186" s="406"/>
      <c r="DD1186" s="406"/>
      <c r="DE1186" s="406"/>
      <c r="DF1186" s="406"/>
      <c r="DG1186" s="406"/>
      <c r="DH1186" s="406"/>
      <c r="DI1186" s="406"/>
      <c r="DJ1186" s="406"/>
      <c r="DK1186" s="406"/>
      <c r="DL1186" s="406"/>
      <c r="DM1186" s="406"/>
      <c r="DN1186" s="406"/>
      <c r="DO1186" s="406"/>
      <c r="DP1186" s="406"/>
      <c r="DQ1186" s="406"/>
      <c r="DR1186" s="406"/>
      <c r="DS1186" s="406"/>
      <c r="DT1186" s="406"/>
      <c r="DU1186" s="406"/>
      <c r="DV1186" s="406"/>
      <c r="DW1186" s="406"/>
      <c r="DX1186" s="406"/>
      <c r="DY1186" s="406"/>
      <c r="DZ1186" s="406"/>
    </row>
    <row r="1187" spans="1:130" hidden="1" outlineLevel="2">
      <c r="A1187" s="494"/>
      <c r="B1187" s="523"/>
      <c r="C1187" s="419"/>
      <c r="D1187" s="420"/>
      <c r="E1187" s="380"/>
      <c r="F1187" s="547"/>
      <c r="G1187" s="380"/>
      <c r="H1187" s="381"/>
      <c r="I1187" s="380" t="s">
        <v>3404</v>
      </c>
      <c r="J1187" s="382"/>
      <c r="K1187" s="494"/>
      <c r="L1187" s="494"/>
      <c r="M1187" s="506" t="s">
        <v>813</v>
      </c>
      <c r="N1187" s="506">
        <v>2</v>
      </c>
    </row>
    <row r="1188" spans="1:130" s="407" customFormat="1" ht="99" customHeight="1" outlineLevel="1" collapsed="1">
      <c r="A1188" s="489" t="s">
        <v>1783</v>
      </c>
      <c r="B1188" s="490"/>
      <c r="C1188" s="398" t="s">
        <v>346</v>
      </c>
      <c r="D1188" s="399" t="s">
        <v>391</v>
      </c>
      <c r="E1188" s="490" t="s">
        <v>3415</v>
      </c>
      <c r="F1188" s="385" t="s">
        <v>3402</v>
      </c>
      <c r="G1188" s="385"/>
      <c r="H1188" s="401" t="s">
        <v>764</v>
      </c>
      <c r="I1188" s="385" t="str">
        <f>CONCATENATE(I1189," ",H1189," ","-",N1189," ",M1189)</f>
        <v>ремонт дуговой защиты  -2 шт</v>
      </c>
      <c r="J1188" s="489" t="s">
        <v>365</v>
      </c>
      <c r="K1188" s="450">
        <v>44317</v>
      </c>
      <c r="L1188" s="450">
        <v>44500</v>
      </c>
      <c r="M1188" s="490"/>
      <c r="N1188" s="490"/>
      <c r="O1188" s="406"/>
      <c r="P1188" s="406"/>
      <c r="Q1188" s="406"/>
      <c r="R1188" s="406"/>
      <c r="S1188" s="406"/>
      <c r="T1188" s="406"/>
      <c r="U1188" s="406"/>
      <c r="V1188" s="406"/>
      <c r="W1188" s="406"/>
      <c r="X1188" s="406"/>
      <c r="Y1188" s="406"/>
      <c r="Z1188" s="406"/>
      <c r="AA1188" s="406"/>
      <c r="AB1188" s="406"/>
      <c r="AC1188" s="406"/>
      <c r="AD1188" s="406"/>
      <c r="AE1188" s="406"/>
      <c r="AF1188" s="406"/>
      <c r="AG1188" s="406"/>
      <c r="AH1188" s="406"/>
      <c r="AI1188" s="406"/>
      <c r="AJ1188" s="406"/>
      <c r="AK1188" s="406"/>
      <c r="AL1188" s="406"/>
      <c r="AM1188" s="406"/>
      <c r="AN1188" s="406"/>
      <c r="AO1188" s="406"/>
      <c r="AP1188" s="406"/>
      <c r="AQ1188" s="406"/>
      <c r="AR1188" s="406"/>
      <c r="AS1188" s="406"/>
      <c r="AT1188" s="406"/>
      <c r="AU1188" s="406"/>
      <c r="AV1188" s="406"/>
      <c r="AW1188" s="406"/>
      <c r="AX1188" s="406"/>
      <c r="AY1188" s="406"/>
      <c r="AZ1188" s="406"/>
      <c r="BA1188" s="406"/>
      <c r="BB1188" s="406"/>
      <c r="BC1188" s="406"/>
      <c r="BD1188" s="406"/>
      <c r="BE1188" s="406"/>
      <c r="BF1188" s="406"/>
      <c r="BG1188" s="406"/>
      <c r="BH1188" s="406"/>
      <c r="BI1188" s="406"/>
      <c r="BJ1188" s="406"/>
      <c r="BK1188" s="406"/>
      <c r="BL1188" s="406"/>
      <c r="BM1188" s="406"/>
      <c r="BN1188" s="406"/>
      <c r="BO1188" s="406"/>
      <c r="BP1188" s="406"/>
      <c r="BQ1188" s="406"/>
      <c r="BR1188" s="406"/>
      <c r="BS1188" s="406"/>
      <c r="BT1188" s="406"/>
      <c r="BU1188" s="406"/>
      <c r="BV1188" s="406"/>
      <c r="BW1188" s="406"/>
      <c r="BX1188" s="406"/>
      <c r="BY1188" s="406"/>
      <c r="BZ1188" s="406"/>
      <c r="CA1188" s="406"/>
      <c r="CB1188" s="406"/>
      <c r="CC1188" s="406"/>
      <c r="CD1188" s="406"/>
      <c r="CE1188" s="406"/>
      <c r="CF1188" s="406"/>
      <c r="CG1188" s="406"/>
      <c r="CH1188" s="406"/>
      <c r="CI1188" s="406"/>
      <c r="CJ1188" s="406"/>
      <c r="CK1188" s="406"/>
      <c r="CL1188" s="406"/>
      <c r="CM1188" s="406"/>
      <c r="CN1188" s="406"/>
      <c r="CO1188" s="406"/>
      <c r="CP1188" s="406"/>
      <c r="CQ1188" s="406"/>
      <c r="CR1188" s="406"/>
      <c r="CS1188" s="406"/>
      <c r="CT1188" s="406"/>
      <c r="CU1188" s="406"/>
      <c r="CV1188" s="406"/>
      <c r="CW1188" s="406"/>
      <c r="CX1188" s="406"/>
      <c r="CY1188" s="406"/>
      <c r="CZ1188" s="406"/>
      <c r="DA1188" s="406"/>
      <c r="DB1188" s="406"/>
      <c r="DC1188" s="406"/>
      <c r="DD1188" s="406"/>
      <c r="DE1188" s="406"/>
      <c r="DF1188" s="406"/>
      <c r="DG1188" s="406"/>
      <c r="DH1188" s="406"/>
      <c r="DI1188" s="406"/>
      <c r="DJ1188" s="406"/>
      <c r="DK1188" s="406"/>
      <c r="DL1188" s="406"/>
      <c r="DM1188" s="406"/>
      <c r="DN1188" s="406"/>
      <c r="DO1188" s="406"/>
      <c r="DP1188" s="406"/>
      <c r="DQ1188" s="406"/>
      <c r="DR1188" s="406"/>
      <c r="DS1188" s="406"/>
      <c r="DT1188" s="406"/>
      <c r="DU1188" s="406"/>
      <c r="DV1188" s="406"/>
      <c r="DW1188" s="406"/>
      <c r="DX1188" s="406"/>
      <c r="DY1188" s="406"/>
      <c r="DZ1188" s="406"/>
    </row>
    <row r="1189" spans="1:130" hidden="1" outlineLevel="2">
      <c r="A1189" s="494"/>
      <c r="B1189" s="523"/>
      <c r="C1189" s="419"/>
      <c r="D1189" s="420"/>
      <c r="E1189" s="380"/>
      <c r="F1189" s="547"/>
      <c r="G1189" s="380"/>
      <c r="H1189" s="381"/>
      <c r="I1189" s="380" t="s">
        <v>3404</v>
      </c>
      <c r="J1189" s="382"/>
      <c r="K1189" s="494"/>
      <c r="L1189" s="494"/>
      <c r="M1189" s="506" t="s">
        <v>813</v>
      </c>
      <c r="N1189" s="506">
        <v>2</v>
      </c>
    </row>
    <row r="1190" spans="1:130" s="407" customFormat="1" ht="99" customHeight="1" outlineLevel="1" collapsed="1">
      <c r="A1190" s="489" t="s">
        <v>1784</v>
      </c>
      <c r="B1190" s="490"/>
      <c r="C1190" s="398" t="s">
        <v>346</v>
      </c>
      <c r="D1190" s="399" t="s">
        <v>391</v>
      </c>
      <c r="E1190" s="490" t="s">
        <v>3416</v>
      </c>
      <c r="F1190" s="385" t="s">
        <v>3402</v>
      </c>
      <c r="G1190" s="385"/>
      <c r="H1190" s="401" t="s">
        <v>3417</v>
      </c>
      <c r="I1190" s="385" t="str">
        <f>CONCATENATE(I1191," ",H1191," ","-",N1191," ",M1191)</f>
        <v>ремонт дуговой защиты  -2 шт</v>
      </c>
      <c r="J1190" s="489" t="s">
        <v>365</v>
      </c>
      <c r="K1190" s="450">
        <v>44317</v>
      </c>
      <c r="L1190" s="450">
        <v>44500</v>
      </c>
      <c r="M1190" s="490"/>
      <c r="N1190" s="490"/>
      <c r="O1190" s="406"/>
      <c r="P1190" s="406"/>
      <c r="Q1190" s="406"/>
      <c r="R1190" s="406"/>
      <c r="S1190" s="406"/>
      <c r="T1190" s="406"/>
      <c r="U1190" s="406"/>
      <c r="V1190" s="406"/>
      <c r="W1190" s="406"/>
      <c r="X1190" s="406"/>
      <c r="Y1190" s="406"/>
      <c r="Z1190" s="406"/>
      <c r="AA1190" s="406"/>
      <c r="AB1190" s="406"/>
      <c r="AC1190" s="406"/>
      <c r="AD1190" s="406"/>
      <c r="AE1190" s="406"/>
      <c r="AF1190" s="406"/>
      <c r="AG1190" s="406"/>
      <c r="AH1190" s="406"/>
      <c r="AI1190" s="406"/>
      <c r="AJ1190" s="406"/>
      <c r="AK1190" s="406"/>
      <c r="AL1190" s="406"/>
      <c r="AM1190" s="406"/>
      <c r="AN1190" s="406"/>
      <c r="AO1190" s="406"/>
      <c r="AP1190" s="406"/>
      <c r="AQ1190" s="406"/>
      <c r="AR1190" s="406"/>
      <c r="AS1190" s="406"/>
      <c r="AT1190" s="406"/>
      <c r="AU1190" s="406"/>
      <c r="AV1190" s="406"/>
      <c r="AW1190" s="406"/>
      <c r="AX1190" s="406"/>
      <c r="AY1190" s="406"/>
      <c r="AZ1190" s="406"/>
      <c r="BA1190" s="406"/>
      <c r="BB1190" s="406"/>
      <c r="BC1190" s="406"/>
      <c r="BD1190" s="406"/>
      <c r="BE1190" s="406"/>
      <c r="BF1190" s="406"/>
      <c r="BG1190" s="406"/>
      <c r="BH1190" s="406"/>
      <c r="BI1190" s="406"/>
      <c r="BJ1190" s="406"/>
      <c r="BK1190" s="406"/>
      <c r="BL1190" s="406"/>
      <c r="BM1190" s="406"/>
      <c r="BN1190" s="406"/>
      <c r="BO1190" s="406"/>
      <c r="BP1190" s="406"/>
      <c r="BQ1190" s="406"/>
      <c r="BR1190" s="406"/>
      <c r="BS1190" s="406"/>
      <c r="BT1190" s="406"/>
      <c r="BU1190" s="406"/>
      <c r="BV1190" s="406"/>
      <c r="BW1190" s="406"/>
      <c r="BX1190" s="406"/>
      <c r="BY1190" s="406"/>
      <c r="BZ1190" s="406"/>
      <c r="CA1190" s="406"/>
      <c r="CB1190" s="406"/>
      <c r="CC1190" s="406"/>
      <c r="CD1190" s="406"/>
      <c r="CE1190" s="406"/>
      <c r="CF1190" s="406"/>
      <c r="CG1190" s="406"/>
      <c r="CH1190" s="406"/>
      <c r="CI1190" s="406"/>
      <c r="CJ1190" s="406"/>
      <c r="CK1190" s="406"/>
      <c r="CL1190" s="406"/>
      <c r="CM1190" s="406"/>
      <c r="CN1190" s="406"/>
      <c r="CO1190" s="406"/>
      <c r="CP1190" s="406"/>
      <c r="CQ1190" s="406"/>
      <c r="CR1190" s="406"/>
      <c r="CS1190" s="406"/>
      <c r="CT1190" s="406"/>
      <c r="CU1190" s="406"/>
      <c r="CV1190" s="406"/>
      <c r="CW1190" s="406"/>
      <c r="CX1190" s="406"/>
      <c r="CY1190" s="406"/>
      <c r="CZ1190" s="406"/>
      <c r="DA1190" s="406"/>
      <c r="DB1190" s="406"/>
      <c r="DC1190" s="406"/>
      <c r="DD1190" s="406"/>
      <c r="DE1190" s="406"/>
      <c r="DF1190" s="406"/>
      <c r="DG1190" s="406"/>
      <c r="DH1190" s="406"/>
      <c r="DI1190" s="406"/>
      <c r="DJ1190" s="406"/>
      <c r="DK1190" s="406"/>
      <c r="DL1190" s="406"/>
      <c r="DM1190" s="406"/>
      <c r="DN1190" s="406"/>
      <c r="DO1190" s="406"/>
      <c r="DP1190" s="406"/>
      <c r="DQ1190" s="406"/>
      <c r="DR1190" s="406"/>
      <c r="DS1190" s="406"/>
      <c r="DT1190" s="406"/>
      <c r="DU1190" s="406"/>
      <c r="DV1190" s="406"/>
      <c r="DW1190" s="406"/>
      <c r="DX1190" s="406"/>
      <c r="DY1190" s="406"/>
      <c r="DZ1190" s="406"/>
    </row>
    <row r="1191" spans="1:130" hidden="1" outlineLevel="2">
      <c r="A1191" s="494"/>
      <c r="B1191" s="523"/>
      <c r="C1191" s="419"/>
      <c r="D1191" s="420"/>
      <c r="E1191" s="380"/>
      <c r="F1191" s="547"/>
      <c r="G1191" s="380"/>
      <c r="H1191" s="381"/>
      <c r="I1191" s="380" t="s">
        <v>3404</v>
      </c>
      <c r="J1191" s="382"/>
      <c r="K1191" s="494"/>
      <c r="L1191" s="494"/>
      <c r="M1191" s="506" t="s">
        <v>813</v>
      </c>
      <c r="N1191" s="506">
        <v>2</v>
      </c>
    </row>
    <row r="1192" spans="1:130" s="407" customFormat="1" ht="99" customHeight="1" outlineLevel="1" collapsed="1">
      <c r="A1192" s="489" t="s">
        <v>1785</v>
      </c>
      <c r="B1192" s="490"/>
      <c r="C1192" s="398" t="s">
        <v>346</v>
      </c>
      <c r="D1192" s="399" t="s">
        <v>391</v>
      </c>
      <c r="E1192" s="490" t="s">
        <v>1524</v>
      </c>
      <c r="F1192" s="385" t="s">
        <v>3402</v>
      </c>
      <c r="G1192" s="385"/>
      <c r="H1192" s="401" t="s">
        <v>1765</v>
      </c>
      <c r="I1192" s="385" t="str">
        <f>CONCATENATE(I1193," ",H1193," ","-",N1193," ",M1193)</f>
        <v>ремонт дуговой защиты  -2 шт</v>
      </c>
      <c r="J1192" s="489" t="s">
        <v>365</v>
      </c>
      <c r="K1192" s="450">
        <v>44317</v>
      </c>
      <c r="L1192" s="450">
        <v>44500</v>
      </c>
      <c r="M1192" s="490"/>
      <c r="N1192" s="490"/>
      <c r="O1192" s="406"/>
      <c r="P1192" s="406"/>
      <c r="Q1192" s="406"/>
      <c r="R1192" s="406"/>
      <c r="S1192" s="406"/>
      <c r="T1192" s="406"/>
      <c r="U1192" s="406"/>
      <c r="V1192" s="406"/>
      <c r="W1192" s="406"/>
      <c r="X1192" s="406"/>
      <c r="Y1192" s="406"/>
      <c r="Z1192" s="406"/>
      <c r="AA1192" s="406"/>
      <c r="AB1192" s="406"/>
      <c r="AC1192" s="406"/>
      <c r="AD1192" s="406"/>
      <c r="AE1192" s="406"/>
      <c r="AF1192" s="406"/>
      <c r="AG1192" s="406"/>
      <c r="AH1192" s="406"/>
      <c r="AI1192" s="406"/>
      <c r="AJ1192" s="406"/>
      <c r="AK1192" s="406"/>
      <c r="AL1192" s="406"/>
      <c r="AM1192" s="406"/>
      <c r="AN1192" s="406"/>
      <c r="AO1192" s="406"/>
      <c r="AP1192" s="406"/>
      <c r="AQ1192" s="406"/>
      <c r="AR1192" s="406"/>
      <c r="AS1192" s="406"/>
      <c r="AT1192" s="406"/>
      <c r="AU1192" s="406"/>
      <c r="AV1192" s="406"/>
      <c r="AW1192" s="406"/>
      <c r="AX1192" s="406"/>
      <c r="AY1192" s="406"/>
      <c r="AZ1192" s="406"/>
      <c r="BA1192" s="406"/>
      <c r="BB1192" s="406"/>
      <c r="BC1192" s="406"/>
      <c r="BD1192" s="406"/>
      <c r="BE1192" s="406"/>
      <c r="BF1192" s="406"/>
      <c r="BG1192" s="406"/>
      <c r="BH1192" s="406"/>
      <c r="BI1192" s="406"/>
      <c r="BJ1192" s="406"/>
      <c r="BK1192" s="406"/>
      <c r="BL1192" s="406"/>
      <c r="BM1192" s="406"/>
      <c r="BN1192" s="406"/>
      <c r="BO1192" s="406"/>
      <c r="BP1192" s="406"/>
      <c r="BQ1192" s="406"/>
      <c r="BR1192" s="406"/>
      <c r="BS1192" s="406"/>
      <c r="BT1192" s="406"/>
      <c r="BU1192" s="406"/>
      <c r="BV1192" s="406"/>
      <c r="BW1192" s="406"/>
      <c r="BX1192" s="406"/>
      <c r="BY1192" s="406"/>
      <c r="BZ1192" s="406"/>
      <c r="CA1192" s="406"/>
      <c r="CB1192" s="406"/>
      <c r="CC1192" s="406"/>
      <c r="CD1192" s="406"/>
      <c r="CE1192" s="406"/>
      <c r="CF1192" s="406"/>
      <c r="CG1192" s="406"/>
      <c r="CH1192" s="406"/>
      <c r="CI1192" s="406"/>
      <c r="CJ1192" s="406"/>
      <c r="CK1192" s="406"/>
      <c r="CL1192" s="406"/>
      <c r="CM1192" s="406"/>
      <c r="CN1192" s="406"/>
      <c r="CO1192" s="406"/>
      <c r="CP1192" s="406"/>
      <c r="CQ1192" s="406"/>
      <c r="CR1192" s="406"/>
      <c r="CS1192" s="406"/>
      <c r="CT1192" s="406"/>
      <c r="CU1192" s="406"/>
      <c r="CV1192" s="406"/>
      <c r="CW1192" s="406"/>
      <c r="CX1192" s="406"/>
      <c r="CY1192" s="406"/>
      <c r="CZ1192" s="406"/>
      <c r="DA1192" s="406"/>
      <c r="DB1192" s="406"/>
      <c r="DC1192" s="406"/>
      <c r="DD1192" s="406"/>
      <c r="DE1192" s="406"/>
      <c r="DF1192" s="406"/>
      <c r="DG1192" s="406"/>
      <c r="DH1192" s="406"/>
      <c r="DI1192" s="406"/>
      <c r="DJ1192" s="406"/>
      <c r="DK1192" s="406"/>
      <c r="DL1192" s="406"/>
      <c r="DM1192" s="406"/>
      <c r="DN1192" s="406"/>
      <c r="DO1192" s="406"/>
      <c r="DP1192" s="406"/>
      <c r="DQ1192" s="406"/>
      <c r="DR1192" s="406"/>
      <c r="DS1192" s="406"/>
      <c r="DT1192" s="406"/>
      <c r="DU1192" s="406"/>
      <c r="DV1192" s="406"/>
      <c r="DW1192" s="406"/>
      <c r="DX1192" s="406"/>
      <c r="DY1192" s="406"/>
      <c r="DZ1192" s="406"/>
    </row>
    <row r="1193" spans="1:130" hidden="1" outlineLevel="2">
      <c r="A1193" s="494"/>
      <c r="B1193" s="523"/>
      <c r="C1193" s="419"/>
      <c r="D1193" s="420"/>
      <c r="E1193" s="380"/>
      <c r="F1193" s="547"/>
      <c r="G1193" s="380"/>
      <c r="H1193" s="381"/>
      <c r="I1193" s="380" t="s">
        <v>3404</v>
      </c>
      <c r="J1193" s="382"/>
      <c r="K1193" s="494"/>
      <c r="L1193" s="494"/>
      <c r="M1193" s="506" t="s">
        <v>813</v>
      </c>
      <c r="N1193" s="506">
        <v>2</v>
      </c>
    </row>
    <row r="1194" spans="1:130" s="407" customFormat="1" ht="99" customHeight="1" outlineLevel="1" collapsed="1">
      <c r="A1194" s="489" t="s">
        <v>1786</v>
      </c>
      <c r="B1194" s="490"/>
      <c r="C1194" s="398" t="s">
        <v>346</v>
      </c>
      <c r="D1194" s="399" t="s">
        <v>391</v>
      </c>
      <c r="E1194" s="490" t="s">
        <v>3418</v>
      </c>
      <c r="F1194" s="385" t="s">
        <v>3402</v>
      </c>
      <c r="G1194" s="385"/>
      <c r="H1194" s="401" t="s">
        <v>467</v>
      </c>
      <c r="I1194" s="385" t="str">
        <f>CONCATENATE(I1195," ",H1195," ","-",N1195," ",M1195)</f>
        <v>ремонт дуговой защиты  -2 шт</v>
      </c>
      <c r="J1194" s="489" t="s">
        <v>365</v>
      </c>
      <c r="K1194" s="450">
        <v>44317</v>
      </c>
      <c r="L1194" s="450">
        <v>44500</v>
      </c>
      <c r="M1194" s="490"/>
      <c r="N1194" s="490"/>
      <c r="O1194" s="406"/>
      <c r="P1194" s="406"/>
      <c r="Q1194" s="406"/>
      <c r="R1194" s="406"/>
      <c r="S1194" s="406"/>
      <c r="T1194" s="406"/>
      <c r="U1194" s="406"/>
      <c r="V1194" s="406"/>
      <c r="W1194" s="406"/>
      <c r="X1194" s="406"/>
      <c r="Y1194" s="406"/>
      <c r="Z1194" s="406"/>
      <c r="AA1194" s="406"/>
      <c r="AB1194" s="406"/>
      <c r="AC1194" s="406"/>
      <c r="AD1194" s="406"/>
      <c r="AE1194" s="406"/>
      <c r="AF1194" s="406"/>
      <c r="AG1194" s="406"/>
      <c r="AH1194" s="406"/>
      <c r="AI1194" s="406"/>
      <c r="AJ1194" s="406"/>
      <c r="AK1194" s="406"/>
      <c r="AL1194" s="406"/>
      <c r="AM1194" s="406"/>
      <c r="AN1194" s="406"/>
      <c r="AO1194" s="406"/>
      <c r="AP1194" s="406"/>
      <c r="AQ1194" s="406"/>
      <c r="AR1194" s="406"/>
      <c r="AS1194" s="406"/>
      <c r="AT1194" s="406"/>
      <c r="AU1194" s="406"/>
      <c r="AV1194" s="406"/>
      <c r="AW1194" s="406"/>
      <c r="AX1194" s="406"/>
      <c r="AY1194" s="406"/>
      <c r="AZ1194" s="406"/>
      <c r="BA1194" s="406"/>
      <c r="BB1194" s="406"/>
      <c r="BC1194" s="406"/>
      <c r="BD1194" s="406"/>
      <c r="BE1194" s="406"/>
      <c r="BF1194" s="406"/>
      <c r="BG1194" s="406"/>
      <c r="BH1194" s="406"/>
      <c r="BI1194" s="406"/>
      <c r="BJ1194" s="406"/>
      <c r="BK1194" s="406"/>
      <c r="BL1194" s="406"/>
      <c r="BM1194" s="406"/>
      <c r="BN1194" s="406"/>
      <c r="BO1194" s="406"/>
      <c r="BP1194" s="406"/>
      <c r="BQ1194" s="406"/>
      <c r="BR1194" s="406"/>
      <c r="BS1194" s="406"/>
      <c r="BT1194" s="406"/>
      <c r="BU1194" s="406"/>
      <c r="BV1194" s="406"/>
      <c r="BW1194" s="406"/>
      <c r="BX1194" s="406"/>
      <c r="BY1194" s="406"/>
      <c r="BZ1194" s="406"/>
      <c r="CA1194" s="406"/>
      <c r="CB1194" s="406"/>
      <c r="CC1194" s="406"/>
      <c r="CD1194" s="406"/>
      <c r="CE1194" s="406"/>
      <c r="CF1194" s="406"/>
      <c r="CG1194" s="406"/>
      <c r="CH1194" s="406"/>
      <c r="CI1194" s="406"/>
      <c r="CJ1194" s="406"/>
      <c r="CK1194" s="406"/>
      <c r="CL1194" s="406"/>
      <c r="CM1194" s="406"/>
      <c r="CN1194" s="406"/>
      <c r="CO1194" s="406"/>
      <c r="CP1194" s="406"/>
      <c r="CQ1194" s="406"/>
      <c r="CR1194" s="406"/>
      <c r="CS1194" s="406"/>
      <c r="CT1194" s="406"/>
      <c r="CU1194" s="406"/>
      <c r="CV1194" s="406"/>
      <c r="CW1194" s="406"/>
      <c r="CX1194" s="406"/>
      <c r="CY1194" s="406"/>
      <c r="CZ1194" s="406"/>
      <c r="DA1194" s="406"/>
      <c r="DB1194" s="406"/>
      <c r="DC1194" s="406"/>
      <c r="DD1194" s="406"/>
      <c r="DE1194" s="406"/>
      <c r="DF1194" s="406"/>
      <c r="DG1194" s="406"/>
      <c r="DH1194" s="406"/>
      <c r="DI1194" s="406"/>
      <c r="DJ1194" s="406"/>
      <c r="DK1194" s="406"/>
      <c r="DL1194" s="406"/>
      <c r="DM1194" s="406"/>
      <c r="DN1194" s="406"/>
      <c r="DO1194" s="406"/>
      <c r="DP1194" s="406"/>
      <c r="DQ1194" s="406"/>
      <c r="DR1194" s="406"/>
      <c r="DS1194" s="406"/>
      <c r="DT1194" s="406"/>
      <c r="DU1194" s="406"/>
      <c r="DV1194" s="406"/>
      <c r="DW1194" s="406"/>
      <c r="DX1194" s="406"/>
      <c r="DY1194" s="406"/>
      <c r="DZ1194" s="406"/>
    </row>
    <row r="1195" spans="1:130" hidden="1" outlineLevel="2">
      <c r="A1195" s="494"/>
      <c r="B1195" s="523"/>
      <c r="C1195" s="419"/>
      <c r="D1195" s="420"/>
      <c r="E1195" s="380"/>
      <c r="F1195" s="547"/>
      <c r="G1195" s="380"/>
      <c r="H1195" s="381"/>
      <c r="I1195" s="380" t="s">
        <v>3404</v>
      </c>
      <c r="J1195" s="382"/>
      <c r="K1195" s="494"/>
      <c r="L1195" s="494"/>
      <c r="M1195" s="506" t="s">
        <v>813</v>
      </c>
      <c r="N1195" s="506">
        <v>2</v>
      </c>
    </row>
    <row r="1196" spans="1:130" s="407" customFormat="1" ht="99" customHeight="1" outlineLevel="1" collapsed="1">
      <c r="A1196" s="489" t="s">
        <v>1787</v>
      </c>
      <c r="B1196" s="490"/>
      <c r="C1196" s="398" t="s">
        <v>346</v>
      </c>
      <c r="D1196" s="399" t="s">
        <v>391</v>
      </c>
      <c r="E1196" s="490" t="s">
        <v>3419</v>
      </c>
      <c r="F1196" s="385" t="s">
        <v>3402</v>
      </c>
      <c r="G1196" s="385"/>
      <c r="H1196" s="401" t="s">
        <v>784</v>
      </c>
      <c r="I1196" s="385" t="str">
        <f>CONCATENATE(I1197," ",H1197," ","-",N1197," ",M1197)</f>
        <v>ремонт дуговой защиты  -2 шт</v>
      </c>
      <c r="J1196" s="489" t="s">
        <v>365</v>
      </c>
      <c r="K1196" s="450">
        <v>44317</v>
      </c>
      <c r="L1196" s="450">
        <v>44500</v>
      </c>
      <c r="M1196" s="490"/>
      <c r="N1196" s="490"/>
      <c r="O1196" s="406"/>
      <c r="P1196" s="406"/>
      <c r="Q1196" s="406"/>
      <c r="R1196" s="406"/>
      <c r="S1196" s="406"/>
      <c r="T1196" s="406"/>
      <c r="U1196" s="406"/>
      <c r="V1196" s="406"/>
      <c r="W1196" s="406"/>
      <c r="X1196" s="406"/>
      <c r="Y1196" s="406"/>
      <c r="Z1196" s="406"/>
      <c r="AA1196" s="406"/>
      <c r="AB1196" s="406"/>
      <c r="AC1196" s="406"/>
      <c r="AD1196" s="406"/>
      <c r="AE1196" s="406"/>
      <c r="AF1196" s="406"/>
      <c r="AG1196" s="406"/>
      <c r="AH1196" s="406"/>
      <c r="AI1196" s="406"/>
      <c r="AJ1196" s="406"/>
      <c r="AK1196" s="406"/>
      <c r="AL1196" s="406"/>
      <c r="AM1196" s="406"/>
      <c r="AN1196" s="406"/>
      <c r="AO1196" s="406"/>
      <c r="AP1196" s="406"/>
      <c r="AQ1196" s="406"/>
      <c r="AR1196" s="406"/>
      <c r="AS1196" s="406"/>
      <c r="AT1196" s="406"/>
      <c r="AU1196" s="406"/>
      <c r="AV1196" s="406"/>
      <c r="AW1196" s="406"/>
      <c r="AX1196" s="406"/>
      <c r="AY1196" s="406"/>
      <c r="AZ1196" s="406"/>
      <c r="BA1196" s="406"/>
      <c r="BB1196" s="406"/>
      <c r="BC1196" s="406"/>
      <c r="BD1196" s="406"/>
      <c r="BE1196" s="406"/>
      <c r="BF1196" s="406"/>
      <c r="BG1196" s="406"/>
      <c r="BH1196" s="406"/>
      <c r="BI1196" s="406"/>
      <c r="BJ1196" s="406"/>
      <c r="BK1196" s="406"/>
      <c r="BL1196" s="406"/>
      <c r="BM1196" s="406"/>
      <c r="BN1196" s="406"/>
      <c r="BO1196" s="406"/>
      <c r="BP1196" s="406"/>
      <c r="BQ1196" s="406"/>
      <c r="BR1196" s="406"/>
      <c r="BS1196" s="406"/>
      <c r="BT1196" s="406"/>
      <c r="BU1196" s="406"/>
      <c r="BV1196" s="406"/>
      <c r="BW1196" s="406"/>
      <c r="BX1196" s="406"/>
      <c r="BY1196" s="406"/>
      <c r="BZ1196" s="406"/>
      <c r="CA1196" s="406"/>
      <c r="CB1196" s="406"/>
      <c r="CC1196" s="406"/>
      <c r="CD1196" s="406"/>
      <c r="CE1196" s="406"/>
      <c r="CF1196" s="406"/>
      <c r="CG1196" s="406"/>
      <c r="CH1196" s="406"/>
      <c r="CI1196" s="406"/>
      <c r="CJ1196" s="406"/>
      <c r="CK1196" s="406"/>
      <c r="CL1196" s="406"/>
      <c r="CM1196" s="406"/>
      <c r="CN1196" s="406"/>
      <c r="CO1196" s="406"/>
      <c r="CP1196" s="406"/>
      <c r="CQ1196" s="406"/>
      <c r="CR1196" s="406"/>
      <c r="CS1196" s="406"/>
      <c r="CT1196" s="406"/>
      <c r="CU1196" s="406"/>
      <c r="CV1196" s="406"/>
      <c r="CW1196" s="406"/>
      <c r="CX1196" s="406"/>
      <c r="CY1196" s="406"/>
      <c r="CZ1196" s="406"/>
      <c r="DA1196" s="406"/>
      <c r="DB1196" s="406"/>
      <c r="DC1196" s="406"/>
      <c r="DD1196" s="406"/>
      <c r="DE1196" s="406"/>
      <c r="DF1196" s="406"/>
      <c r="DG1196" s="406"/>
      <c r="DH1196" s="406"/>
      <c r="DI1196" s="406"/>
      <c r="DJ1196" s="406"/>
      <c r="DK1196" s="406"/>
      <c r="DL1196" s="406"/>
      <c r="DM1196" s="406"/>
      <c r="DN1196" s="406"/>
      <c r="DO1196" s="406"/>
      <c r="DP1196" s="406"/>
      <c r="DQ1196" s="406"/>
      <c r="DR1196" s="406"/>
      <c r="DS1196" s="406"/>
      <c r="DT1196" s="406"/>
      <c r="DU1196" s="406"/>
      <c r="DV1196" s="406"/>
      <c r="DW1196" s="406"/>
      <c r="DX1196" s="406"/>
      <c r="DY1196" s="406"/>
      <c r="DZ1196" s="406"/>
    </row>
    <row r="1197" spans="1:130" hidden="1" outlineLevel="2">
      <c r="A1197" s="494"/>
      <c r="B1197" s="523"/>
      <c r="C1197" s="419"/>
      <c r="D1197" s="420"/>
      <c r="E1197" s="380"/>
      <c r="F1197" s="547"/>
      <c r="G1197" s="380"/>
      <c r="H1197" s="381"/>
      <c r="I1197" s="380" t="s">
        <v>3404</v>
      </c>
      <c r="J1197" s="382"/>
      <c r="K1197" s="494"/>
      <c r="L1197" s="494"/>
      <c r="M1197" s="506" t="s">
        <v>813</v>
      </c>
      <c r="N1197" s="506">
        <v>2</v>
      </c>
    </row>
    <row r="1198" spans="1:130" s="407" customFormat="1" ht="99" customHeight="1" outlineLevel="1" collapsed="1">
      <c r="A1198" s="489" t="s">
        <v>1788</v>
      </c>
      <c r="B1198" s="490"/>
      <c r="C1198" s="398" t="s">
        <v>346</v>
      </c>
      <c r="D1198" s="399" t="s">
        <v>391</v>
      </c>
      <c r="E1198" s="490" t="s">
        <v>3420</v>
      </c>
      <c r="F1198" s="385" t="s">
        <v>3402</v>
      </c>
      <c r="G1198" s="385"/>
      <c r="H1198" s="401" t="s">
        <v>3421</v>
      </c>
      <c r="I1198" s="385" t="str">
        <f>CONCATENATE(I1199," ",H1199," ","-",N1199," ",M1199)</f>
        <v>ремонт дуговой защиты  -2 шт</v>
      </c>
      <c r="J1198" s="489" t="s">
        <v>365</v>
      </c>
      <c r="K1198" s="450">
        <v>44317</v>
      </c>
      <c r="L1198" s="450">
        <v>44500</v>
      </c>
      <c r="M1198" s="490"/>
      <c r="N1198" s="490"/>
      <c r="O1198" s="406"/>
      <c r="P1198" s="406"/>
      <c r="Q1198" s="406"/>
      <c r="R1198" s="406"/>
      <c r="S1198" s="406"/>
      <c r="T1198" s="406"/>
      <c r="U1198" s="406"/>
      <c r="V1198" s="406"/>
      <c r="W1198" s="406"/>
      <c r="X1198" s="406"/>
      <c r="Y1198" s="406"/>
      <c r="Z1198" s="406"/>
      <c r="AA1198" s="406"/>
      <c r="AB1198" s="406"/>
      <c r="AC1198" s="406"/>
      <c r="AD1198" s="406"/>
      <c r="AE1198" s="406"/>
      <c r="AF1198" s="406"/>
      <c r="AG1198" s="406"/>
      <c r="AH1198" s="406"/>
      <c r="AI1198" s="406"/>
      <c r="AJ1198" s="406"/>
      <c r="AK1198" s="406"/>
      <c r="AL1198" s="406"/>
      <c r="AM1198" s="406"/>
      <c r="AN1198" s="406"/>
      <c r="AO1198" s="406"/>
      <c r="AP1198" s="406"/>
      <c r="AQ1198" s="406"/>
      <c r="AR1198" s="406"/>
      <c r="AS1198" s="406"/>
      <c r="AT1198" s="406"/>
      <c r="AU1198" s="406"/>
      <c r="AV1198" s="406"/>
      <c r="AW1198" s="406"/>
      <c r="AX1198" s="406"/>
      <c r="AY1198" s="406"/>
      <c r="AZ1198" s="406"/>
      <c r="BA1198" s="406"/>
      <c r="BB1198" s="406"/>
      <c r="BC1198" s="406"/>
      <c r="BD1198" s="406"/>
      <c r="BE1198" s="406"/>
      <c r="BF1198" s="406"/>
      <c r="BG1198" s="406"/>
      <c r="BH1198" s="406"/>
      <c r="BI1198" s="406"/>
      <c r="BJ1198" s="406"/>
      <c r="BK1198" s="406"/>
      <c r="BL1198" s="406"/>
      <c r="BM1198" s="406"/>
      <c r="BN1198" s="406"/>
      <c r="BO1198" s="406"/>
      <c r="BP1198" s="406"/>
      <c r="BQ1198" s="406"/>
      <c r="BR1198" s="406"/>
      <c r="BS1198" s="406"/>
      <c r="BT1198" s="406"/>
      <c r="BU1198" s="406"/>
      <c r="BV1198" s="406"/>
      <c r="BW1198" s="406"/>
      <c r="BX1198" s="406"/>
      <c r="BY1198" s="406"/>
      <c r="BZ1198" s="406"/>
      <c r="CA1198" s="406"/>
      <c r="CB1198" s="406"/>
      <c r="CC1198" s="406"/>
      <c r="CD1198" s="406"/>
      <c r="CE1198" s="406"/>
      <c r="CF1198" s="406"/>
      <c r="CG1198" s="406"/>
      <c r="CH1198" s="406"/>
      <c r="CI1198" s="406"/>
      <c r="CJ1198" s="406"/>
      <c r="CK1198" s="406"/>
      <c r="CL1198" s="406"/>
      <c r="CM1198" s="406"/>
      <c r="CN1198" s="406"/>
      <c r="CO1198" s="406"/>
      <c r="CP1198" s="406"/>
      <c r="CQ1198" s="406"/>
      <c r="CR1198" s="406"/>
      <c r="CS1198" s="406"/>
      <c r="CT1198" s="406"/>
      <c r="CU1198" s="406"/>
      <c r="CV1198" s="406"/>
      <c r="CW1198" s="406"/>
      <c r="CX1198" s="406"/>
      <c r="CY1198" s="406"/>
      <c r="CZ1198" s="406"/>
      <c r="DA1198" s="406"/>
      <c r="DB1198" s="406"/>
      <c r="DC1198" s="406"/>
      <c r="DD1198" s="406"/>
      <c r="DE1198" s="406"/>
      <c r="DF1198" s="406"/>
      <c r="DG1198" s="406"/>
      <c r="DH1198" s="406"/>
      <c r="DI1198" s="406"/>
      <c r="DJ1198" s="406"/>
      <c r="DK1198" s="406"/>
      <c r="DL1198" s="406"/>
      <c r="DM1198" s="406"/>
      <c r="DN1198" s="406"/>
      <c r="DO1198" s="406"/>
      <c r="DP1198" s="406"/>
      <c r="DQ1198" s="406"/>
      <c r="DR1198" s="406"/>
      <c r="DS1198" s="406"/>
      <c r="DT1198" s="406"/>
      <c r="DU1198" s="406"/>
      <c r="DV1198" s="406"/>
      <c r="DW1198" s="406"/>
      <c r="DX1198" s="406"/>
      <c r="DY1198" s="406"/>
      <c r="DZ1198" s="406"/>
    </row>
    <row r="1199" spans="1:130" hidden="1" outlineLevel="2">
      <c r="A1199" s="494"/>
      <c r="B1199" s="523"/>
      <c r="C1199" s="419"/>
      <c r="D1199" s="420"/>
      <c r="E1199" s="380"/>
      <c r="F1199" s="547"/>
      <c r="G1199" s="380"/>
      <c r="H1199" s="381"/>
      <c r="I1199" s="380" t="s">
        <v>3404</v>
      </c>
      <c r="J1199" s="382"/>
      <c r="K1199" s="494"/>
      <c r="L1199" s="494"/>
      <c r="M1199" s="506" t="s">
        <v>813</v>
      </c>
      <c r="N1199" s="506">
        <v>2</v>
      </c>
    </row>
    <row r="1200" spans="1:130" s="407" customFormat="1" ht="99" customHeight="1" outlineLevel="1" collapsed="1">
      <c r="A1200" s="489" t="s">
        <v>3422</v>
      </c>
      <c r="B1200" s="490"/>
      <c r="C1200" s="398" t="s">
        <v>346</v>
      </c>
      <c r="D1200" s="399" t="s">
        <v>391</v>
      </c>
      <c r="E1200" s="490" t="s">
        <v>3423</v>
      </c>
      <c r="F1200" s="385" t="s">
        <v>3402</v>
      </c>
      <c r="G1200" s="385"/>
      <c r="H1200" s="401" t="s">
        <v>677</v>
      </c>
      <c r="I1200" s="385" t="str">
        <f>CONCATENATE(I1201," ",H1201," ","-",N1201," ",M1201)</f>
        <v>ремонт дуговой защиты  -2 шт</v>
      </c>
      <c r="J1200" s="489" t="s">
        <v>365</v>
      </c>
      <c r="K1200" s="450">
        <v>44317</v>
      </c>
      <c r="L1200" s="450">
        <v>44500</v>
      </c>
      <c r="M1200" s="490"/>
      <c r="N1200" s="490"/>
      <c r="O1200" s="406"/>
      <c r="P1200" s="406"/>
      <c r="Q1200" s="406"/>
      <c r="R1200" s="406"/>
      <c r="S1200" s="406"/>
      <c r="T1200" s="406"/>
      <c r="U1200" s="406"/>
      <c r="V1200" s="406"/>
      <c r="W1200" s="406"/>
      <c r="X1200" s="406"/>
      <c r="Y1200" s="406"/>
      <c r="Z1200" s="406"/>
      <c r="AA1200" s="406"/>
      <c r="AB1200" s="406"/>
      <c r="AC1200" s="406"/>
      <c r="AD1200" s="406"/>
      <c r="AE1200" s="406"/>
      <c r="AF1200" s="406"/>
      <c r="AG1200" s="406"/>
      <c r="AH1200" s="406"/>
      <c r="AI1200" s="406"/>
      <c r="AJ1200" s="406"/>
      <c r="AK1200" s="406"/>
      <c r="AL1200" s="406"/>
      <c r="AM1200" s="406"/>
      <c r="AN1200" s="406"/>
      <c r="AO1200" s="406"/>
      <c r="AP1200" s="406"/>
      <c r="AQ1200" s="406"/>
      <c r="AR1200" s="406"/>
      <c r="AS1200" s="406"/>
      <c r="AT1200" s="406"/>
      <c r="AU1200" s="406"/>
      <c r="AV1200" s="406"/>
      <c r="AW1200" s="406"/>
      <c r="AX1200" s="406"/>
      <c r="AY1200" s="406"/>
      <c r="AZ1200" s="406"/>
      <c r="BA1200" s="406"/>
      <c r="BB1200" s="406"/>
      <c r="BC1200" s="406"/>
      <c r="BD1200" s="406"/>
      <c r="BE1200" s="406"/>
      <c r="BF1200" s="406"/>
      <c r="BG1200" s="406"/>
      <c r="BH1200" s="406"/>
      <c r="BI1200" s="406"/>
      <c r="BJ1200" s="406"/>
      <c r="BK1200" s="406"/>
      <c r="BL1200" s="406"/>
      <c r="BM1200" s="406"/>
      <c r="BN1200" s="406"/>
      <c r="BO1200" s="406"/>
      <c r="BP1200" s="406"/>
      <c r="BQ1200" s="406"/>
      <c r="BR1200" s="406"/>
      <c r="BS1200" s="406"/>
      <c r="BT1200" s="406"/>
      <c r="BU1200" s="406"/>
      <c r="BV1200" s="406"/>
      <c r="BW1200" s="406"/>
      <c r="BX1200" s="406"/>
      <c r="BY1200" s="406"/>
      <c r="BZ1200" s="406"/>
      <c r="CA1200" s="406"/>
      <c r="CB1200" s="406"/>
      <c r="CC1200" s="406"/>
      <c r="CD1200" s="406"/>
      <c r="CE1200" s="406"/>
      <c r="CF1200" s="406"/>
      <c r="CG1200" s="406"/>
      <c r="CH1200" s="406"/>
      <c r="CI1200" s="406"/>
      <c r="CJ1200" s="406"/>
      <c r="CK1200" s="406"/>
      <c r="CL1200" s="406"/>
      <c r="CM1200" s="406"/>
      <c r="CN1200" s="406"/>
      <c r="CO1200" s="406"/>
      <c r="CP1200" s="406"/>
      <c r="CQ1200" s="406"/>
      <c r="CR1200" s="406"/>
      <c r="CS1200" s="406"/>
      <c r="CT1200" s="406"/>
      <c r="CU1200" s="406"/>
      <c r="CV1200" s="406"/>
      <c r="CW1200" s="406"/>
      <c r="CX1200" s="406"/>
      <c r="CY1200" s="406"/>
      <c r="CZ1200" s="406"/>
      <c r="DA1200" s="406"/>
      <c r="DB1200" s="406"/>
      <c r="DC1200" s="406"/>
      <c r="DD1200" s="406"/>
      <c r="DE1200" s="406"/>
      <c r="DF1200" s="406"/>
      <c r="DG1200" s="406"/>
      <c r="DH1200" s="406"/>
      <c r="DI1200" s="406"/>
      <c r="DJ1200" s="406"/>
      <c r="DK1200" s="406"/>
      <c r="DL1200" s="406"/>
      <c r="DM1200" s="406"/>
      <c r="DN1200" s="406"/>
      <c r="DO1200" s="406"/>
      <c r="DP1200" s="406"/>
      <c r="DQ1200" s="406"/>
      <c r="DR1200" s="406"/>
      <c r="DS1200" s="406"/>
      <c r="DT1200" s="406"/>
      <c r="DU1200" s="406"/>
      <c r="DV1200" s="406"/>
      <c r="DW1200" s="406"/>
      <c r="DX1200" s="406"/>
      <c r="DY1200" s="406"/>
      <c r="DZ1200" s="406"/>
    </row>
    <row r="1201" spans="1:130" hidden="1" outlineLevel="2">
      <c r="A1201" s="494"/>
      <c r="B1201" s="523"/>
      <c r="C1201" s="419"/>
      <c r="D1201" s="420"/>
      <c r="E1201" s="380"/>
      <c r="F1201" s="547"/>
      <c r="G1201" s="380"/>
      <c r="H1201" s="381"/>
      <c r="I1201" s="380" t="s">
        <v>3404</v>
      </c>
      <c r="J1201" s="382"/>
      <c r="K1201" s="494"/>
      <c r="L1201" s="494"/>
      <c r="M1201" s="506" t="s">
        <v>813</v>
      </c>
      <c r="N1201" s="506">
        <v>2</v>
      </c>
    </row>
    <row r="1202" spans="1:130" s="407" customFormat="1" ht="99" customHeight="1" outlineLevel="1" collapsed="1">
      <c r="A1202" s="489" t="s">
        <v>3424</v>
      </c>
      <c r="B1202" s="490"/>
      <c r="C1202" s="398" t="s">
        <v>346</v>
      </c>
      <c r="D1202" s="399" t="s">
        <v>391</v>
      </c>
      <c r="E1202" s="490" t="s">
        <v>3425</v>
      </c>
      <c r="F1202" s="385" t="s">
        <v>3402</v>
      </c>
      <c r="G1202" s="385"/>
      <c r="H1202" s="401" t="s">
        <v>671</v>
      </c>
      <c r="I1202" s="385" t="str">
        <f>CONCATENATE(I1203," ",H1203," ","-",N1203," ",M1203)</f>
        <v>ремонт дуговой защиты  -2 шт</v>
      </c>
      <c r="J1202" s="489" t="s">
        <v>365</v>
      </c>
      <c r="K1202" s="450">
        <v>44317</v>
      </c>
      <c r="L1202" s="450">
        <v>44500</v>
      </c>
      <c r="M1202" s="490"/>
      <c r="N1202" s="490"/>
      <c r="O1202" s="406"/>
      <c r="P1202" s="406"/>
      <c r="Q1202" s="406"/>
      <c r="R1202" s="406"/>
      <c r="S1202" s="406"/>
      <c r="T1202" s="406"/>
      <c r="U1202" s="406"/>
      <c r="V1202" s="406"/>
      <c r="W1202" s="406"/>
      <c r="X1202" s="406"/>
      <c r="Y1202" s="406"/>
      <c r="Z1202" s="406"/>
      <c r="AA1202" s="406"/>
      <c r="AB1202" s="406"/>
      <c r="AC1202" s="406"/>
      <c r="AD1202" s="406"/>
      <c r="AE1202" s="406"/>
      <c r="AF1202" s="406"/>
      <c r="AG1202" s="406"/>
      <c r="AH1202" s="406"/>
      <c r="AI1202" s="406"/>
      <c r="AJ1202" s="406"/>
      <c r="AK1202" s="406"/>
      <c r="AL1202" s="406"/>
      <c r="AM1202" s="406"/>
      <c r="AN1202" s="406"/>
      <c r="AO1202" s="406"/>
      <c r="AP1202" s="406"/>
      <c r="AQ1202" s="406"/>
      <c r="AR1202" s="406"/>
      <c r="AS1202" s="406"/>
      <c r="AT1202" s="406"/>
      <c r="AU1202" s="406"/>
      <c r="AV1202" s="406"/>
      <c r="AW1202" s="406"/>
      <c r="AX1202" s="406"/>
      <c r="AY1202" s="406"/>
      <c r="AZ1202" s="406"/>
      <c r="BA1202" s="406"/>
      <c r="BB1202" s="406"/>
      <c r="BC1202" s="406"/>
      <c r="BD1202" s="406"/>
      <c r="BE1202" s="406"/>
      <c r="BF1202" s="406"/>
      <c r="BG1202" s="406"/>
      <c r="BH1202" s="406"/>
      <c r="BI1202" s="406"/>
      <c r="BJ1202" s="406"/>
      <c r="BK1202" s="406"/>
      <c r="BL1202" s="406"/>
      <c r="BM1202" s="406"/>
      <c r="BN1202" s="406"/>
      <c r="BO1202" s="406"/>
      <c r="BP1202" s="406"/>
      <c r="BQ1202" s="406"/>
      <c r="BR1202" s="406"/>
      <c r="BS1202" s="406"/>
      <c r="BT1202" s="406"/>
      <c r="BU1202" s="406"/>
      <c r="BV1202" s="406"/>
      <c r="BW1202" s="406"/>
      <c r="BX1202" s="406"/>
      <c r="BY1202" s="406"/>
      <c r="BZ1202" s="406"/>
      <c r="CA1202" s="406"/>
      <c r="CB1202" s="406"/>
      <c r="CC1202" s="406"/>
      <c r="CD1202" s="406"/>
      <c r="CE1202" s="406"/>
      <c r="CF1202" s="406"/>
      <c r="CG1202" s="406"/>
      <c r="CH1202" s="406"/>
      <c r="CI1202" s="406"/>
      <c r="CJ1202" s="406"/>
      <c r="CK1202" s="406"/>
      <c r="CL1202" s="406"/>
      <c r="CM1202" s="406"/>
      <c r="CN1202" s="406"/>
      <c r="CO1202" s="406"/>
      <c r="CP1202" s="406"/>
      <c r="CQ1202" s="406"/>
      <c r="CR1202" s="406"/>
      <c r="CS1202" s="406"/>
      <c r="CT1202" s="406"/>
      <c r="CU1202" s="406"/>
      <c r="CV1202" s="406"/>
      <c r="CW1202" s="406"/>
      <c r="CX1202" s="406"/>
      <c r="CY1202" s="406"/>
      <c r="CZ1202" s="406"/>
      <c r="DA1202" s="406"/>
      <c r="DB1202" s="406"/>
      <c r="DC1202" s="406"/>
      <c r="DD1202" s="406"/>
      <c r="DE1202" s="406"/>
      <c r="DF1202" s="406"/>
      <c r="DG1202" s="406"/>
      <c r="DH1202" s="406"/>
      <c r="DI1202" s="406"/>
      <c r="DJ1202" s="406"/>
      <c r="DK1202" s="406"/>
      <c r="DL1202" s="406"/>
      <c r="DM1202" s="406"/>
      <c r="DN1202" s="406"/>
      <c r="DO1202" s="406"/>
      <c r="DP1202" s="406"/>
      <c r="DQ1202" s="406"/>
      <c r="DR1202" s="406"/>
      <c r="DS1202" s="406"/>
      <c r="DT1202" s="406"/>
      <c r="DU1202" s="406"/>
      <c r="DV1202" s="406"/>
      <c r="DW1202" s="406"/>
      <c r="DX1202" s="406"/>
      <c r="DY1202" s="406"/>
      <c r="DZ1202" s="406"/>
    </row>
    <row r="1203" spans="1:130" hidden="1" outlineLevel="2">
      <c r="A1203" s="494"/>
      <c r="B1203" s="523"/>
      <c r="C1203" s="419"/>
      <c r="D1203" s="420"/>
      <c r="E1203" s="380"/>
      <c r="F1203" s="547"/>
      <c r="G1203" s="380"/>
      <c r="H1203" s="381"/>
      <c r="I1203" s="380" t="s">
        <v>3404</v>
      </c>
      <c r="J1203" s="382"/>
      <c r="K1203" s="494"/>
      <c r="L1203" s="494"/>
      <c r="M1203" s="506" t="s">
        <v>813</v>
      </c>
      <c r="N1203" s="506">
        <v>2</v>
      </c>
    </row>
    <row r="1204" spans="1:130" s="407" customFormat="1" ht="99" customHeight="1" outlineLevel="1" collapsed="1">
      <c r="A1204" s="489" t="s">
        <v>3426</v>
      </c>
      <c r="B1204" s="490"/>
      <c r="C1204" s="398" t="s">
        <v>346</v>
      </c>
      <c r="D1204" s="399" t="s">
        <v>391</v>
      </c>
      <c r="E1204" s="490" t="s">
        <v>3427</v>
      </c>
      <c r="F1204" s="385" t="s">
        <v>3402</v>
      </c>
      <c r="G1204" s="385"/>
      <c r="H1204" s="401" t="s">
        <v>3428</v>
      </c>
      <c r="I1204" s="385" t="str">
        <f>CONCATENATE(I1205," ",H1205," ","-",N1205," ",M1205)</f>
        <v>ремонт дуговой защиты  -2 шт</v>
      </c>
      <c r="J1204" s="489" t="s">
        <v>365</v>
      </c>
      <c r="K1204" s="450">
        <v>44317</v>
      </c>
      <c r="L1204" s="450">
        <v>44500</v>
      </c>
      <c r="M1204" s="490"/>
      <c r="N1204" s="490"/>
      <c r="O1204" s="406"/>
      <c r="P1204" s="406"/>
      <c r="Q1204" s="406"/>
      <c r="R1204" s="406"/>
      <c r="S1204" s="406"/>
      <c r="T1204" s="406"/>
      <c r="U1204" s="406"/>
      <c r="V1204" s="406"/>
      <c r="W1204" s="406"/>
      <c r="X1204" s="406"/>
      <c r="Y1204" s="406"/>
      <c r="Z1204" s="406"/>
      <c r="AA1204" s="406"/>
      <c r="AB1204" s="406"/>
      <c r="AC1204" s="406"/>
      <c r="AD1204" s="406"/>
      <c r="AE1204" s="406"/>
      <c r="AF1204" s="406"/>
      <c r="AG1204" s="406"/>
      <c r="AH1204" s="406"/>
      <c r="AI1204" s="406"/>
      <c r="AJ1204" s="406"/>
      <c r="AK1204" s="406"/>
      <c r="AL1204" s="406"/>
      <c r="AM1204" s="406"/>
      <c r="AN1204" s="406"/>
      <c r="AO1204" s="406"/>
      <c r="AP1204" s="406"/>
      <c r="AQ1204" s="406"/>
      <c r="AR1204" s="406"/>
      <c r="AS1204" s="406"/>
      <c r="AT1204" s="406"/>
      <c r="AU1204" s="406"/>
      <c r="AV1204" s="406"/>
      <c r="AW1204" s="406"/>
      <c r="AX1204" s="406"/>
      <c r="AY1204" s="406"/>
      <c r="AZ1204" s="406"/>
      <c r="BA1204" s="406"/>
      <c r="BB1204" s="406"/>
      <c r="BC1204" s="406"/>
      <c r="BD1204" s="406"/>
      <c r="BE1204" s="406"/>
      <c r="BF1204" s="406"/>
      <c r="BG1204" s="406"/>
      <c r="BH1204" s="406"/>
      <c r="BI1204" s="406"/>
      <c r="BJ1204" s="406"/>
      <c r="BK1204" s="406"/>
      <c r="BL1204" s="406"/>
      <c r="BM1204" s="406"/>
      <c r="BN1204" s="406"/>
      <c r="BO1204" s="406"/>
      <c r="BP1204" s="406"/>
      <c r="BQ1204" s="406"/>
      <c r="BR1204" s="406"/>
      <c r="BS1204" s="406"/>
      <c r="BT1204" s="406"/>
      <c r="BU1204" s="406"/>
      <c r="BV1204" s="406"/>
      <c r="BW1204" s="406"/>
      <c r="BX1204" s="406"/>
      <c r="BY1204" s="406"/>
      <c r="BZ1204" s="406"/>
      <c r="CA1204" s="406"/>
      <c r="CB1204" s="406"/>
      <c r="CC1204" s="406"/>
      <c r="CD1204" s="406"/>
      <c r="CE1204" s="406"/>
      <c r="CF1204" s="406"/>
      <c r="CG1204" s="406"/>
      <c r="CH1204" s="406"/>
      <c r="CI1204" s="406"/>
      <c r="CJ1204" s="406"/>
      <c r="CK1204" s="406"/>
      <c r="CL1204" s="406"/>
      <c r="CM1204" s="406"/>
      <c r="CN1204" s="406"/>
      <c r="CO1204" s="406"/>
      <c r="CP1204" s="406"/>
      <c r="CQ1204" s="406"/>
      <c r="CR1204" s="406"/>
      <c r="CS1204" s="406"/>
      <c r="CT1204" s="406"/>
      <c r="CU1204" s="406"/>
      <c r="CV1204" s="406"/>
      <c r="CW1204" s="406"/>
      <c r="CX1204" s="406"/>
      <c r="CY1204" s="406"/>
      <c r="CZ1204" s="406"/>
      <c r="DA1204" s="406"/>
      <c r="DB1204" s="406"/>
      <c r="DC1204" s="406"/>
      <c r="DD1204" s="406"/>
      <c r="DE1204" s="406"/>
      <c r="DF1204" s="406"/>
      <c r="DG1204" s="406"/>
      <c r="DH1204" s="406"/>
      <c r="DI1204" s="406"/>
      <c r="DJ1204" s="406"/>
      <c r="DK1204" s="406"/>
      <c r="DL1204" s="406"/>
      <c r="DM1204" s="406"/>
      <c r="DN1204" s="406"/>
      <c r="DO1204" s="406"/>
      <c r="DP1204" s="406"/>
      <c r="DQ1204" s="406"/>
      <c r="DR1204" s="406"/>
      <c r="DS1204" s="406"/>
      <c r="DT1204" s="406"/>
      <c r="DU1204" s="406"/>
      <c r="DV1204" s="406"/>
      <c r="DW1204" s="406"/>
      <c r="DX1204" s="406"/>
      <c r="DY1204" s="406"/>
      <c r="DZ1204" s="406"/>
    </row>
    <row r="1205" spans="1:130" hidden="1" outlineLevel="2">
      <c r="A1205" s="494"/>
      <c r="B1205" s="523"/>
      <c r="C1205" s="419"/>
      <c r="D1205" s="420"/>
      <c r="E1205" s="380"/>
      <c r="F1205" s="547"/>
      <c r="G1205" s="380"/>
      <c r="H1205" s="381"/>
      <c r="I1205" s="380" t="s">
        <v>3404</v>
      </c>
      <c r="J1205" s="382"/>
      <c r="K1205" s="494"/>
      <c r="L1205" s="494"/>
      <c r="M1205" s="506" t="s">
        <v>813</v>
      </c>
      <c r="N1205" s="506">
        <v>2</v>
      </c>
    </row>
    <row r="1206" spans="1:130" s="407" customFormat="1" ht="99" customHeight="1" outlineLevel="1" collapsed="1">
      <c r="A1206" s="489" t="s">
        <v>3429</v>
      </c>
      <c r="B1206" s="490"/>
      <c r="C1206" s="398" t="s">
        <v>346</v>
      </c>
      <c r="D1206" s="399" t="s">
        <v>391</v>
      </c>
      <c r="E1206" s="490" t="s">
        <v>3430</v>
      </c>
      <c r="F1206" s="385" t="s">
        <v>3402</v>
      </c>
      <c r="G1206" s="385"/>
      <c r="H1206" s="401" t="s">
        <v>658</v>
      </c>
      <c r="I1206" s="385" t="str">
        <f>CONCATENATE(I1207," ",H1207," ","-",N1207," ",M1207)</f>
        <v>ремонт дуговой защиты  -2 шт</v>
      </c>
      <c r="J1206" s="489" t="s">
        <v>365</v>
      </c>
      <c r="K1206" s="450">
        <v>44317</v>
      </c>
      <c r="L1206" s="450">
        <v>44500</v>
      </c>
      <c r="M1206" s="490"/>
      <c r="N1206" s="490"/>
      <c r="O1206" s="406"/>
      <c r="P1206" s="406"/>
      <c r="Q1206" s="406"/>
      <c r="R1206" s="406"/>
      <c r="S1206" s="406"/>
      <c r="T1206" s="406"/>
      <c r="U1206" s="406"/>
      <c r="V1206" s="406"/>
      <c r="W1206" s="406"/>
      <c r="X1206" s="406"/>
      <c r="Y1206" s="406"/>
      <c r="Z1206" s="406"/>
      <c r="AA1206" s="406"/>
      <c r="AB1206" s="406"/>
      <c r="AC1206" s="406"/>
      <c r="AD1206" s="406"/>
      <c r="AE1206" s="406"/>
      <c r="AF1206" s="406"/>
      <c r="AG1206" s="406"/>
      <c r="AH1206" s="406"/>
      <c r="AI1206" s="406"/>
      <c r="AJ1206" s="406"/>
      <c r="AK1206" s="406"/>
      <c r="AL1206" s="406"/>
      <c r="AM1206" s="406"/>
      <c r="AN1206" s="406"/>
      <c r="AO1206" s="406"/>
      <c r="AP1206" s="406"/>
      <c r="AQ1206" s="406"/>
      <c r="AR1206" s="406"/>
      <c r="AS1206" s="406"/>
      <c r="AT1206" s="406"/>
      <c r="AU1206" s="406"/>
      <c r="AV1206" s="406"/>
      <c r="AW1206" s="406"/>
      <c r="AX1206" s="406"/>
      <c r="AY1206" s="406"/>
      <c r="AZ1206" s="406"/>
      <c r="BA1206" s="406"/>
      <c r="BB1206" s="406"/>
      <c r="BC1206" s="406"/>
      <c r="BD1206" s="406"/>
      <c r="BE1206" s="406"/>
      <c r="BF1206" s="406"/>
      <c r="BG1206" s="406"/>
      <c r="BH1206" s="406"/>
      <c r="BI1206" s="406"/>
      <c r="BJ1206" s="406"/>
      <c r="BK1206" s="406"/>
      <c r="BL1206" s="406"/>
      <c r="BM1206" s="406"/>
      <c r="BN1206" s="406"/>
      <c r="BO1206" s="406"/>
      <c r="BP1206" s="406"/>
      <c r="BQ1206" s="406"/>
      <c r="BR1206" s="406"/>
      <c r="BS1206" s="406"/>
      <c r="BT1206" s="406"/>
      <c r="BU1206" s="406"/>
      <c r="BV1206" s="406"/>
      <c r="BW1206" s="406"/>
      <c r="BX1206" s="406"/>
      <c r="BY1206" s="406"/>
      <c r="BZ1206" s="406"/>
      <c r="CA1206" s="406"/>
      <c r="CB1206" s="406"/>
      <c r="CC1206" s="406"/>
      <c r="CD1206" s="406"/>
      <c r="CE1206" s="406"/>
      <c r="CF1206" s="406"/>
      <c r="CG1206" s="406"/>
      <c r="CH1206" s="406"/>
      <c r="CI1206" s="406"/>
      <c r="CJ1206" s="406"/>
      <c r="CK1206" s="406"/>
      <c r="CL1206" s="406"/>
      <c r="CM1206" s="406"/>
      <c r="CN1206" s="406"/>
      <c r="CO1206" s="406"/>
      <c r="CP1206" s="406"/>
      <c r="CQ1206" s="406"/>
      <c r="CR1206" s="406"/>
      <c r="CS1206" s="406"/>
      <c r="CT1206" s="406"/>
      <c r="CU1206" s="406"/>
      <c r="CV1206" s="406"/>
      <c r="CW1206" s="406"/>
      <c r="CX1206" s="406"/>
      <c r="CY1206" s="406"/>
      <c r="CZ1206" s="406"/>
      <c r="DA1206" s="406"/>
      <c r="DB1206" s="406"/>
      <c r="DC1206" s="406"/>
      <c r="DD1206" s="406"/>
      <c r="DE1206" s="406"/>
      <c r="DF1206" s="406"/>
      <c r="DG1206" s="406"/>
      <c r="DH1206" s="406"/>
      <c r="DI1206" s="406"/>
      <c r="DJ1206" s="406"/>
      <c r="DK1206" s="406"/>
      <c r="DL1206" s="406"/>
      <c r="DM1206" s="406"/>
      <c r="DN1206" s="406"/>
      <c r="DO1206" s="406"/>
      <c r="DP1206" s="406"/>
      <c r="DQ1206" s="406"/>
      <c r="DR1206" s="406"/>
      <c r="DS1206" s="406"/>
      <c r="DT1206" s="406"/>
      <c r="DU1206" s="406"/>
      <c r="DV1206" s="406"/>
      <c r="DW1206" s="406"/>
      <c r="DX1206" s="406"/>
      <c r="DY1206" s="406"/>
      <c r="DZ1206" s="406"/>
    </row>
    <row r="1207" spans="1:130" hidden="1" outlineLevel="2">
      <c r="A1207" s="494"/>
      <c r="B1207" s="523"/>
      <c r="C1207" s="419"/>
      <c r="D1207" s="420"/>
      <c r="E1207" s="380"/>
      <c r="F1207" s="547"/>
      <c r="G1207" s="380"/>
      <c r="H1207" s="381"/>
      <c r="I1207" s="380" t="s">
        <v>3404</v>
      </c>
      <c r="J1207" s="382"/>
      <c r="K1207" s="494"/>
      <c r="L1207" s="494"/>
      <c r="M1207" s="506" t="s">
        <v>813</v>
      </c>
      <c r="N1207" s="506">
        <v>2</v>
      </c>
    </row>
    <row r="1208" spans="1:130" s="407" customFormat="1" ht="99" customHeight="1" outlineLevel="1" collapsed="1">
      <c r="A1208" s="489" t="s">
        <v>3431</v>
      </c>
      <c r="B1208" s="490"/>
      <c r="C1208" s="398" t="s">
        <v>346</v>
      </c>
      <c r="D1208" s="399" t="s">
        <v>391</v>
      </c>
      <c r="E1208" s="490" t="s">
        <v>3432</v>
      </c>
      <c r="F1208" s="385" t="s">
        <v>3402</v>
      </c>
      <c r="G1208" s="385"/>
      <c r="H1208" s="401" t="s">
        <v>3433</v>
      </c>
      <c r="I1208" s="385" t="str">
        <f>CONCATENATE(I1209," ",H1209," ","-",N1209," ",M1209)</f>
        <v>ремонт дуговой защиты  -2 шт</v>
      </c>
      <c r="J1208" s="489" t="s">
        <v>365</v>
      </c>
      <c r="K1208" s="450">
        <v>44317</v>
      </c>
      <c r="L1208" s="450">
        <v>44500</v>
      </c>
      <c r="M1208" s="490"/>
      <c r="N1208" s="490"/>
      <c r="O1208" s="406"/>
      <c r="P1208" s="406"/>
      <c r="Q1208" s="406"/>
      <c r="R1208" s="406"/>
      <c r="S1208" s="406"/>
      <c r="T1208" s="406"/>
      <c r="U1208" s="406"/>
      <c r="V1208" s="406"/>
      <c r="W1208" s="406"/>
      <c r="X1208" s="406"/>
      <c r="Y1208" s="406"/>
      <c r="Z1208" s="406"/>
      <c r="AA1208" s="406"/>
      <c r="AB1208" s="406"/>
      <c r="AC1208" s="406"/>
      <c r="AD1208" s="406"/>
      <c r="AE1208" s="406"/>
      <c r="AF1208" s="406"/>
      <c r="AG1208" s="406"/>
      <c r="AH1208" s="406"/>
      <c r="AI1208" s="406"/>
      <c r="AJ1208" s="406"/>
      <c r="AK1208" s="406"/>
      <c r="AL1208" s="406"/>
      <c r="AM1208" s="406"/>
      <c r="AN1208" s="406"/>
      <c r="AO1208" s="406"/>
      <c r="AP1208" s="406"/>
      <c r="AQ1208" s="406"/>
      <c r="AR1208" s="406"/>
      <c r="AS1208" s="406"/>
      <c r="AT1208" s="406"/>
      <c r="AU1208" s="406"/>
      <c r="AV1208" s="406"/>
      <c r="AW1208" s="406"/>
      <c r="AX1208" s="406"/>
      <c r="AY1208" s="406"/>
      <c r="AZ1208" s="406"/>
      <c r="BA1208" s="406"/>
      <c r="BB1208" s="406"/>
      <c r="BC1208" s="406"/>
      <c r="BD1208" s="406"/>
      <c r="BE1208" s="406"/>
      <c r="BF1208" s="406"/>
      <c r="BG1208" s="406"/>
      <c r="BH1208" s="406"/>
      <c r="BI1208" s="406"/>
      <c r="BJ1208" s="406"/>
      <c r="BK1208" s="406"/>
      <c r="BL1208" s="406"/>
      <c r="BM1208" s="406"/>
      <c r="BN1208" s="406"/>
      <c r="BO1208" s="406"/>
      <c r="BP1208" s="406"/>
      <c r="BQ1208" s="406"/>
      <c r="BR1208" s="406"/>
      <c r="BS1208" s="406"/>
      <c r="BT1208" s="406"/>
      <c r="BU1208" s="406"/>
      <c r="BV1208" s="406"/>
      <c r="BW1208" s="406"/>
      <c r="BX1208" s="406"/>
      <c r="BY1208" s="406"/>
      <c r="BZ1208" s="406"/>
      <c r="CA1208" s="406"/>
      <c r="CB1208" s="406"/>
      <c r="CC1208" s="406"/>
      <c r="CD1208" s="406"/>
      <c r="CE1208" s="406"/>
      <c r="CF1208" s="406"/>
      <c r="CG1208" s="406"/>
      <c r="CH1208" s="406"/>
      <c r="CI1208" s="406"/>
      <c r="CJ1208" s="406"/>
      <c r="CK1208" s="406"/>
      <c r="CL1208" s="406"/>
      <c r="CM1208" s="406"/>
      <c r="CN1208" s="406"/>
      <c r="CO1208" s="406"/>
      <c r="CP1208" s="406"/>
      <c r="CQ1208" s="406"/>
      <c r="CR1208" s="406"/>
      <c r="CS1208" s="406"/>
      <c r="CT1208" s="406"/>
      <c r="CU1208" s="406"/>
      <c r="CV1208" s="406"/>
      <c r="CW1208" s="406"/>
      <c r="CX1208" s="406"/>
      <c r="CY1208" s="406"/>
      <c r="CZ1208" s="406"/>
      <c r="DA1208" s="406"/>
      <c r="DB1208" s="406"/>
      <c r="DC1208" s="406"/>
      <c r="DD1208" s="406"/>
      <c r="DE1208" s="406"/>
      <c r="DF1208" s="406"/>
      <c r="DG1208" s="406"/>
      <c r="DH1208" s="406"/>
      <c r="DI1208" s="406"/>
      <c r="DJ1208" s="406"/>
      <c r="DK1208" s="406"/>
      <c r="DL1208" s="406"/>
      <c r="DM1208" s="406"/>
      <c r="DN1208" s="406"/>
      <c r="DO1208" s="406"/>
      <c r="DP1208" s="406"/>
      <c r="DQ1208" s="406"/>
      <c r="DR1208" s="406"/>
      <c r="DS1208" s="406"/>
      <c r="DT1208" s="406"/>
      <c r="DU1208" s="406"/>
      <c r="DV1208" s="406"/>
      <c r="DW1208" s="406"/>
      <c r="DX1208" s="406"/>
      <c r="DY1208" s="406"/>
      <c r="DZ1208" s="406"/>
    </row>
    <row r="1209" spans="1:130" hidden="1" outlineLevel="2">
      <c r="A1209" s="494"/>
      <c r="B1209" s="523"/>
      <c r="C1209" s="419"/>
      <c r="D1209" s="420"/>
      <c r="E1209" s="380"/>
      <c r="F1209" s="547"/>
      <c r="G1209" s="380"/>
      <c r="H1209" s="381"/>
      <c r="I1209" s="380" t="s">
        <v>3404</v>
      </c>
      <c r="J1209" s="382"/>
      <c r="K1209" s="494"/>
      <c r="L1209" s="494"/>
      <c r="M1209" s="506" t="s">
        <v>813</v>
      </c>
      <c r="N1209" s="506">
        <v>2</v>
      </c>
    </row>
    <row r="1210" spans="1:130" s="407" customFormat="1" ht="99" customHeight="1" outlineLevel="1" collapsed="1">
      <c r="A1210" s="489" t="s">
        <v>3434</v>
      </c>
      <c r="B1210" s="490"/>
      <c r="C1210" s="398" t="s">
        <v>346</v>
      </c>
      <c r="D1210" s="399" t="s">
        <v>391</v>
      </c>
      <c r="E1210" s="490" t="s">
        <v>3435</v>
      </c>
      <c r="F1210" s="385" t="s">
        <v>3402</v>
      </c>
      <c r="G1210" s="385"/>
      <c r="H1210" s="401" t="s">
        <v>710</v>
      </c>
      <c r="I1210" s="385" t="str">
        <f>CONCATENATE(I1211," ",H1211," ","-",N1211," ",M1211)</f>
        <v>ремонт дуговой защиты  -2 шт</v>
      </c>
      <c r="J1210" s="489" t="s">
        <v>365</v>
      </c>
      <c r="K1210" s="450">
        <v>44317</v>
      </c>
      <c r="L1210" s="450">
        <v>44500</v>
      </c>
      <c r="M1210" s="490"/>
      <c r="N1210" s="490"/>
      <c r="O1210" s="406"/>
      <c r="P1210" s="406"/>
      <c r="Q1210" s="406"/>
      <c r="R1210" s="406"/>
      <c r="S1210" s="406"/>
      <c r="T1210" s="406"/>
      <c r="U1210" s="406"/>
      <c r="V1210" s="406"/>
      <c r="W1210" s="406"/>
      <c r="X1210" s="406"/>
      <c r="Y1210" s="406"/>
      <c r="Z1210" s="406"/>
      <c r="AA1210" s="406"/>
      <c r="AB1210" s="406"/>
      <c r="AC1210" s="406"/>
      <c r="AD1210" s="406"/>
      <c r="AE1210" s="406"/>
      <c r="AF1210" s="406"/>
      <c r="AG1210" s="406"/>
      <c r="AH1210" s="406"/>
      <c r="AI1210" s="406"/>
      <c r="AJ1210" s="406"/>
      <c r="AK1210" s="406"/>
      <c r="AL1210" s="406"/>
      <c r="AM1210" s="406"/>
      <c r="AN1210" s="406"/>
      <c r="AO1210" s="406"/>
      <c r="AP1210" s="406"/>
      <c r="AQ1210" s="406"/>
      <c r="AR1210" s="406"/>
      <c r="AS1210" s="406"/>
      <c r="AT1210" s="406"/>
      <c r="AU1210" s="406"/>
      <c r="AV1210" s="406"/>
      <c r="AW1210" s="406"/>
      <c r="AX1210" s="406"/>
      <c r="AY1210" s="406"/>
      <c r="AZ1210" s="406"/>
      <c r="BA1210" s="406"/>
      <c r="BB1210" s="406"/>
      <c r="BC1210" s="406"/>
      <c r="BD1210" s="406"/>
      <c r="BE1210" s="406"/>
      <c r="BF1210" s="406"/>
      <c r="BG1210" s="406"/>
      <c r="BH1210" s="406"/>
      <c r="BI1210" s="406"/>
      <c r="BJ1210" s="406"/>
      <c r="BK1210" s="406"/>
      <c r="BL1210" s="406"/>
      <c r="BM1210" s="406"/>
      <c r="BN1210" s="406"/>
      <c r="BO1210" s="406"/>
      <c r="BP1210" s="406"/>
      <c r="BQ1210" s="406"/>
      <c r="BR1210" s="406"/>
      <c r="BS1210" s="406"/>
      <c r="BT1210" s="406"/>
      <c r="BU1210" s="406"/>
      <c r="BV1210" s="406"/>
      <c r="BW1210" s="406"/>
      <c r="BX1210" s="406"/>
      <c r="BY1210" s="406"/>
      <c r="BZ1210" s="406"/>
      <c r="CA1210" s="406"/>
      <c r="CB1210" s="406"/>
      <c r="CC1210" s="406"/>
      <c r="CD1210" s="406"/>
      <c r="CE1210" s="406"/>
      <c r="CF1210" s="406"/>
      <c r="CG1210" s="406"/>
      <c r="CH1210" s="406"/>
      <c r="CI1210" s="406"/>
      <c r="CJ1210" s="406"/>
      <c r="CK1210" s="406"/>
      <c r="CL1210" s="406"/>
      <c r="CM1210" s="406"/>
      <c r="CN1210" s="406"/>
      <c r="CO1210" s="406"/>
      <c r="CP1210" s="406"/>
      <c r="CQ1210" s="406"/>
      <c r="CR1210" s="406"/>
      <c r="CS1210" s="406"/>
      <c r="CT1210" s="406"/>
      <c r="CU1210" s="406"/>
      <c r="CV1210" s="406"/>
      <c r="CW1210" s="406"/>
      <c r="CX1210" s="406"/>
      <c r="CY1210" s="406"/>
      <c r="CZ1210" s="406"/>
      <c r="DA1210" s="406"/>
      <c r="DB1210" s="406"/>
      <c r="DC1210" s="406"/>
      <c r="DD1210" s="406"/>
      <c r="DE1210" s="406"/>
      <c r="DF1210" s="406"/>
      <c r="DG1210" s="406"/>
      <c r="DH1210" s="406"/>
      <c r="DI1210" s="406"/>
      <c r="DJ1210" s="406"/>
      <c r="DK1210" s="406"/>
      <c r="DL1210" s="406"/>
      <c r="DM1210" s="406"/>
      <c r="DN1210" s="406"/>
      <c r="DO1210" s="406"/>
      <c r="DP1210" s="406"/>
      <c r="DQ1210" s="406"/>
      <c r="DR1210" s="406"/>
      <c r="DS1210" s="406"/>
      <c r="DT1210" s="406"/>
      <c r="DU1210" s="406"/>
      <c r="DV1210" s="406"/>
      <c r="DW1210" s="406"/>
      <c r="DX1210" s="406"/>
      <c r="DY1210" s="406"/>
      <c r="DZ1210" s="406"/>
    </row>
    <row r="1211" spans="1:130" hidden="1" outlineLevel="2">
      <c r="A1211" s="494"/>
      <c r="B1211" s="523"/>
      <c r="C1211" s="419"/>
      <c r="D1211" s="420"/>
      <c r="E1211" s="380"/>
      <c r="F1211" s="547"/>
      <c r="G1211" s="380"/>
      <c r="H1211" s="381"/>
      <c r="I1211" s="380" t="s">
        <v>3404</v>
      </c>
      <c r="J1211" s="382"/>
      <c r="K1211" s="494"/>
      <c r="L1211" s="494"/>
      <c r="M1211" s="506" t="s">
        <v>813</v>
      </c>
      <c r="N1211" s="506">
        <v>2</v>
      </c>
    </row>
    <row r="1212" spans="1:130" s="407" customFormat="1" ht="99" customHeight="1" outlineLevel="1" collapsed="1">
      <c r="A1212" s="489" t="s">
        <v>3436</v>
      </c>
      <c r="B1212" s="490"/>
      <c r="C1212" s="398" t="s">
        <v>346</v>
      </c>
      <c r="D1212" s="399" t="s">
        <v>391</v>
      </c>
      <c r="E1212" s="490" t="s">
        <v>3437</v>
      </c>
      <c r="F1212" s="385" t="s">
        <v>3438</v>
      </c>
      <c r="G1212" s="385"/>
      <c r="H1212" s="401" t="s">
        <v>1815</v>
      </c>
      <c r="I1212" s="385" t="str">
        <f>CONCATENATE(I1213," ",H1213," ","-",N1213," ",M1213)</f>
        <v>ремонт АПВ  -2 шт</v>
      </c>
      <c r="J1212" s="489" t="s">
        <v>365</v>
      </c>
      <c r="K1212" s="450">
        <v>44317</v>
      </c>
      <c r="L1212" s="450">
        <v>44500</v>
      </c>
      <c r="M1212" s="490"/>
      <c r="N1212" s="490"/>
      <c r="O1212" s="406"/>
      <c r="P1212" s="406"/>
      <c r="Q1212" s="406"/>
      <c r="R1212" s="406"/>
      <c r="S1212" s="406"/>
      <c r="T1212" s="406"/>
      <c r="U1212" s="406"/>
      <c r="V1212" s="406"/>
      <c r="W1212" s="406"/>
      <c r="X1212" s="406"/>
      <c r="Y1212" s="406"/>
      <c r="Z1212" s="406"/>
      <c r="AA1212" s="406"/>
      <c r="AB1212" s="406"/>
      <c r="AC1212" s="406"/>
      <c r="AD1212" s="406"/>
      <c r="AE1212" s="406"/>
      <c r="AF1212" s="406"/>
      <c r="AG1212" s="406"/>
      <c r="AH1212" s="406"/>
      <c r="AI1212" s="406"/>
      <c r="AJ1212" s="406"/>
      <c r="AK1212" s="406"/>
      <c r="AL1212" s="406"/>
      <c r="AM1212" s="406"/>
      <c r="AN1212" s="406"/>
      <c r="AO1212" s="406"/>
      <c r="AP1212" s="406"/>
      <c r="AQ1212" s="406"/>
      <c r="AR1212" s="406"/>
      <c r="AS1212" s="406"/>
      <c r="AT1212" s="406"/>
      <c r="AU1212" s="406"/>
      <c r="AV1212" s="406"/>
      <c r="AW1212" s="406"/>
      <c r="AX1212" s="406"/>
      <c r="AY1212" s="406"/>
      <c r="AZ1212" s="406"/>
      <c r="BA1212" s="406"/>
      <c r="BB1212" s="406"/>
      <c r="BC1212" s="406"/>
      <c r="BD1212" s="406"/>
      <c r="BE1212" s="406"/>
      <c r="BF1212" s="406"/>
      <c r="BG1212" s="406"/>
      <c r="BH1212" s="406"/>
      <c r="BI1212" s="406"/>
      <c r="BJ1212" s="406"/>
      <c r="BK1212" s="406"/>
      <c r="BL1212" s="406"/>
      <c r="BM1212" s="406"/>
      <c r="BN1212" s="406"/>
      <c r="BO1212" s="406"/>
      <c r="BP1212" s="406"/>
      <c r="BQ1212" s="406"/>
      <c r="BR1212" s="406"/>
      <c r="BS1212" s="406"/>
      <c r="BT1212" s="406"/>
      <c r="BU1212" s="406"/>
      <c r="BV1212" s="406"/>
      <c r="BW1212" s="406"/>
      <c r="BX1212" s="406"/>
      <c r="BY1212" s="406"/>
      <c r="BZ1212" s="406"/>
      <c r="CA1212" s="406"/>
      <c r="CB1212" s="406"/>
      <c r="CC1212" s="406"/>
      <c r="CD1212" s="406"/>
      <c r="CE1212" s="406"/>
      <c r="CF1212" s="406"/>
      <c r="CG1212" s="406"/>
      <c r="CH1212" s="406"/>
      <c r="CI1212" s="406"/>
      <c r="CJ1212" s="406"/>
      <c r="CK1212" s="406"/>
      <c r="CL1212" s="406"/>
      <c r="CM1212" s="406"/>
      <c r="CN1212" s="406"/>
      <c r="CO1212" s="406"/>
      <c r="CP1212" s="406"/>
      <c r="CQ1212" s="406"/>
      <c r="CR1212" s="406"/>
      <c r="CS1212" s="406"/>
      <c r="CT1212" s="406"/>
      <c r="CU1212" s="406"/>
      <c r="CV1212" s="406"/>
      <c r="CW1212" s="406"/>
      <c r="CX1212" s="406"/>
      <c r="CY1212" s="406"/>
      <c r="CZ1212" s="406"/>
      <c r="DA1212" s="406"/>
      <c r="DB1212" s="406"/>
      <c r="DC1212" s="406"/>
      <c r="DD1212" s="406"/>
      <c r="DE1212" s="406"/>
      <c r="DF1212" s="406"/>
      <c r="DG1212" s="406"/>
      <c r="DH1212" s="406"/>
      <c r="DI1212" s="406"/>
      <c r="DJ1212" s="406"/>
      <c r="DK1212" s="406"/>
      <c r="DL1212" s="406"/>
      <c r="DM1212" s="406"/>
      <c r="DN1212" s="406"/>
      <c r="DO1212" s="406"/>
      <c r="DP1212" s="406"/>
      <c r="DQ1212" s="406"/>
      <c r="DR1212" s="406"/>
      <c r="DS1212" s="406"/>
      <c r="DT1212" s="406"/>
      <c r="DU1212" s="406"/>
      <c r="DV1212" s="406"/>
      <c r="DW1212" s="406"/>
      <c r="DX1212" s="406"/>
      <c r="DY1212" s="406"/>
      <c r="DZ1212" s="406"/>
    </row>
    <row r="1213" spans="1:130" hidden="1" outlineLevel="2">
      <c r="A1213" s="494"/>
      <c r="B1213" s="523"/>
      <c r="C1213" s="419"/>
      <c r="D1213" s="420"/>
      <c r="E1213" s="380"/>
      <c r="F1213" s="547"/>
      <c r="G1213" s="380"/>
      <c r="H1213" s="381"/>
      <c r="I1213" s="380" t="s">
        <v>3439</v>
      </c>
      <c r="J1213" s="382"/>
      <c r="K1213" s="494"/>
      <c r="L1213" s="494"/>
      <c r="M1213" s="506" t="s">
        <v>813</v>
      </c>
      <c r="N1213" s="506">
        <v>2</v>
      </c>
    </row>
    <row r="1214" spans="1:130" s="407" customFormat="1" ht="99" customHeight="1" outlineLevel="1" collapsed="1">
      <c r="A1214" s="489" t="s">
        <v>3440</v>
      </c>
      <c r="B1214" s="490"/>
      <c r="C1214" s="398" t="s">
        <v>346</v>
      </c>
      <c r="D1214" s="399" t="s">
        <v>391</v>
      </c>
      <c r="E1214" s="490" t="s">
        <v>3441</v>
      </c>
      <c r="F1214" s="385" t="s">
        <v>3438</v>
      </c>
      <c r="G1214" s="385"/>
      <c r="H1214" s="401" t="s">
        <v>3442</v>
      </c>
      <c r="I1214" s="385" t="str">
        <f>CONCATENATE(I1215," ",H1215," ","-",N1215," ",M1215)</f>
        <v>ремонт АПВ  -2 шт</v>
      </c>
      <c r="J1214" s="489" t="s">
        <v>365</v>
      </c>
      <c r="K1214" s="450">
        <v>44317</v>
      </c>
      <c r="L1214" s="450">
        <v>44500</v>
      </c>
      <c r="M1214" s="490"/>
      <c r="N1214" s="490"/>
      <c r="O1214" s="406"/>
      <c r="P1214" s="406"/>
      <c r="Q1214" s="406"/>
      <c r="R1214" s="406"/>
      <c r="S1214" s="406"/>
      <c r="T1214" s="406"/>
      <c r="U1214" s="406"/>
      <c r="V1214" s="406"/>
      <c r="W1214" s="406"/>
      <c r="X1214" s="406"/>
      <c r="Y1214" s="406"/>
      <c r="Z1214" s="406"/>
      <c r="AA1214" s="406"/>
      <c r="AB1214" s="406"/>
      <c r="AC1214" s="406"/>
      <c r="AD1214" s="406"/>
      <c r="AE1214" s="406"/>
      <c r="AF1214" s="406"/>
      <c r="AG1214" s="406"/>
      <c r="AH1214" s="406"/>
      <c r="AI1214" s="406"/>
      <c r="AJ1214" s="406"/>
      <c r="AK1214" s="406"/>
      <c r="AL1214" s="406"/>
      <c r="AM1214" s="406"/>
      <c r="AN1214" s="406"/>
      <c r="AO1214" s="406"/>
      <c r="AP1214" s="406"/>
      <c r="AQ1214" s="406"/>
      <c r="AR1214" s="406"/>
      <c r="AS1214" s="406"/>
      <c r="AT1214" s="406"/>
      <c r="AU1214" s="406"/>
      <c r="AV1214" s="406"/>
      <c r="AW1214" s="406"/>
      <c r="AX1214" s="406"/>
      <c r="AY1214" s="406"/>
      <c r="AZ1214" s="406"/>
      <c r="BA1214" s="406"/>
      <c r="BB1214" s="406"/>
      <c r="BC1214" s="406"/>
      <c r="BD1214" s="406"/>
      <c r="BE1214" s="406"/>
      <c r="BF1214" s="406"/>
      <c r="BG1214" s="406"/>
      <c r="BH1214" s="406"/>
      <c r="BI1214" s="406"/>
      <c r="BJ1214" s="406"/>
      <c r="BK1214" s="406"/>
      <c r="BL1214" s="406"/>
      <c r="BM1214" s="406"/>
      <c r="BN1214" s="406"/>
      <c r="BO1214" s="406"/>
      <c r="BP1214" s="406"/>
      <c r="BQ1214" s="406"/>
      <c r="BR1214" s="406"/>
      <c r="BS1214" s="406"/>
      <c r="BT1214" s="406"/>
      <c r="BU1214" s="406"/>
      <c r="BV1214" s="406"/>
      <c r="BW1214" s="406"/>
      <c r="BX1214" s="406"/>
      <c r="BY1214" s="406"/>
      <c r="BZ1214" s="406"/>
      <c r="CA1214" s="406"/>
      <c r="CB1214" s="406"/>
      <c r="CC1214" s="406"/>
      <c r="CD1214" s="406"/>
      <c r="CE1214" s="406"/>
      <c r="CF1214" s="406"/>
      <c r="CG1214" s="406"/>
      <c r="CH1214" s="406"/>
      <c r="CI1214" s="406"/>
      <c r="CJ1214" s="406"/>
      <c r="CK1214" s="406"/>
      <c r="CL1214" s="406"/>
      <c r="CM1214" s="406"/>
      <c r="CN1214" s="406"/>
      <c r="CO1214" s="406"/>
      <c r="CP1214" s="406"/>
      <c r="CQ1214" s="406"/>
      <c r="CR1214" s="406"/>
      <c r="CS1214" s="406"/>
      <c r="CT1214" s="406"/>
      <c r="CU1214" s="406"/>
      <c r="CV1214" s="406"/>
      <c r="CW1214" s="406"/>
      <c r="CX1214" s="406"/>
      <c r="CY1214" s="406"/>
      <c r="CZ1214" s="406"/>
      <c r="DA1214" s="406"/>
      <c r="DB1214" s="406"/>
      <c r="DC1214" s="406"/>
      <c r="DD1214" s="406"/>
      <c r="DE1214" s="406"/>
      <c r="DF1214" s="406"/>
      <c r="DG1214" s="406"/>
      <c r="DH1214" s="406"/>
      <c r="DI1214" s="406"/>
      <c r="DJ1214" s="406"/>
      <c r="DK1214" s="406"/>
      <c r="DL1214" s="406"/>
      <c r="DM1214" s="406"/>
      <c r="DN1214" s="406"/>
      <c r="DO1214" s="406"/>
      <c r="DP1214" s="406"/>
      <c r="DQ1214" s="406"/>
      <c r="DR1214" s="406"/>
      <c r="DS1214" s="406"/>
      <c r="DT1214" s="406"/>
      <c r="DU1214" s="406"/>
      <c r="DV1214" s="406"/>
      <c r="DW1214" s="406"/>
      <c r="DX1214" s="406"/>
      <c r="DY1214" s="406"/>
      <c r="DZ1214" s="406"/>
    </row>
    <row r="1215" spans="1:130" hidden="1" outlineLevel="2">
      <c r="A1215" s="494"/>
      <c r="B1215" s="523"/>
      <c r="C1215" s="419"/>
      <c r="D1215" s="420"/>
      <c r="E1215" s="380"/>
      <c r="F1215" s="547"/>
      <c r="G1215" s="380"/>
      <c r="H1215" s="381"/>
      <c r="I1215" s="380" t="s">
        <v>3439</v>
      </c>
      <c r="J1215" s="382"/>
      <c r="K1215" s="494"/>
      <c r="L1215" s="494"/>
      <c r="M1215" s="506" t="s">
        <v>813</v>
      </c>
      <c r="N1215" s="506">
        <v>2</v>
      </c>
    </row>
    <row r="1216" spans="1:130" s="407" customFormat="1" ht="99" customHeight="1" outlineLevel="1" collapsed="1">
      <c r="A1216" s="489" t="s">
        <v>3443</v>
      </c>
      <c r="B1216" s="490"/>
      <c r="C1216" s="398" t="s">
        <v>346</v>
      </c>
      <c r="D1216" s="399" t="s">
        <v>391</v>
      </c>
      <c r="E1216" s="490" t="s">
        <v>3444</v>
      </c>
      <c r="F1216" s="385" t="s">
        <v>3438</v>
      </c>
      <c r="G1216" s="385"/>
      <c r="H1216" s="401" t="s">
        <v>697</v>
      </c>
      <c r="I1216" s="385" t="str">
        <f>CONCATENATE(I1217," ",H1217," ","-",N1217," ",M1217)</f>
        <v>ремонт АПВ  -1 шт</v>
      </c>
      <c r="J1216" s="489" t="s">
        <v>365</v>
      </c>
      <c r="K1216" s="450">
        <v>44317</v>
      </c>
      <c r="L1216" s="450">
        <v>44500</v>
      </c>
      <c r="M1216" s="490"/>
      <c r="N1216" s="490"/>
      <c r="O1216" s="406"/>
      <c r="P1216" s="406"/>
      <c r="Q1216" s="406"/>
      <c r="R1216" s="406"/>
      <c r="S1216" s="406"/>
      <c r="T1216" s="406"/>
      <c r="U1216" s="406"/>
      <c r="V1216" s="406"/>
      <c r="W1216" s="406"/>
      <c r="X1216" s="406"/>
      <c r="Y1216" s="406"/>
      <c r="Z1216" s="406"/>
      <c r="AA1216" s="406"/>
      <c r="AB1216" s="406"/>
      <c r="AC1216" s="406"/>
      <c r="AD1216" s="406"/>
      <c r="AE1216" s="406"/>
      <c r="AF1216" s="406"/>
      <c r="AG1216" s="406"/>
      <c r="AH1216" s="406"/>
      <c r="AI1216" s="406"/>
      <c r="AJ1216" s="406"/>
      <c r="AK1216" s="406"/>
      <c r="AL1216" s="406"/>
      <c r="AM1216" s="406"/>
      <c r="AN1216" s="406"/>
      <c r="AO1216" s="406"/>
      <c r="AP1216" s="406"/>
      <c r="AQ1216" s="406"/>
      <c r="AR1216" s="406"/>
      <c r="AS1216" s="406"/>
      <c r="AT1216" s="406"/>
      <c r="AU1216" s="406"/>
      <c r="AV1216" s="406"/>
      <c r="AW1216" s="406"/>
      <c r="AX1216" s="406"/>
      <c r="AY1216" s="406"/>
      <c r="AZ1216" s="406"/>
      <c r="BA1216" s="406"/>
      <c r="BB1216" s="406"/>
      <c r="BC1216" s="406"/>
      <c r="BD1216" s="406"/>
      <c r="BE1216" s="406"/>
      <c r="BF1216" s="406"/>
      <c r="BG1216" s="406"/>
      <c r="BH1216" s="406"/>
      <c r="BI1216" s="406"/>
      <c r="BJ1216" s="406"/>
      <c r="BK1216" s="406"/>
      <c r="BL1216" s="406"/>
      <c r="BM1216" s="406"/>
      <c r="BN1216" s="406"/>
      <c r="BO1216" s="406"/>
      <c r="BP1216" s="406"/>
      <c r="BQ1216" s="406"/>
      <c r="BR1216" s="406"/>
      <c r="BS1216" s="406"/>
      <c r="BT1216" s="406"/>
      <c r="BU1216" s="406"/>
      <c r="BV1216" s="406"/>
      <c r="BW1216" s="406"/>
      <c r="BX1216" s="406"/>
      <c r="BY1216" s="406"/>
      <c r="BZ1216" s="406"/>
      <c r="CA1216" s="406"/>
      <c r="CB1216" s="406"/>
      <c r="CC1216" s="406"/>
      <c r="CD1216" s="406"/>
      <c r="CE1216" s="406"/>
      <c r="CF1216" s="406"/>
      <c r="CG1216" s="406"/>
      <c r="CH1216" s="406"/>
      <c r="CI1216" s="406"/>
      <c r="CJ1216" s="406"/>
      <c r="CK1216" s="406"/>
      <c r="CL1216" s="406"/>
      <c r="CM1216" s="406"/>
      <c r="CN1216" s="406"/>
      <c r="CO1216" s="406"/>
      <c r="CP1216" s="406"/>
      <c r="CQ1216" s="406"/>
      <c r="CR1216" s="406"/>
      <c r="CS1216" s="406"/>
      <c r="CT1216" s="406"/>
      <c r="CU1216" s="406"/>
      <c r="CV1216" s="406"/>
      <c r="CW1216" s="406"/>
      <c r="CX1216" s="406"/>
      <c r="CY1216" s="406"/>
      <c r="CZ1216" s="406"/>
      <c r="DA1216" s="406"/>
      <c r="DB1216" s="406"/>
      <c r="DC1216" s="406"/>
      <c r="DD1216" s="406"/>
      <c r="DE1216" s="406"/>
      <c r="DF1216" s="406"/>
      <c r="DG1216" s="406"/>
      <c r="DH1216" s="406"/>
      <c r="DI1216" s="406"/>
      <c r="DJ1216" s="406"/>
      <c r="DK1216" s="406"/>
      <c r="DL1216" s="406"/>
      <c r="DM1216" s="406"/>
      <c r="DN1216" s="406"/>
      <c r="DO1216" s="406"/>
      <c r="DP1216" s="406"/>
      <c r="DQ1216" s="406"/>
      <c r="DR1216" s="406"/>
      <c r="DS1216" s="406"/>
      <c r="DT1216" s="406"/>
      <c r="DU1216" s="406"/>
      <c r="DV1216" s="406"/>
      <c r="DW1216" s="406"/>
      <c r="DX1216" s="406"/>
      <c r="DY1216" s="406"/>
      <c r="DZ1216" s="406"/>
    </row>
    <row r="1217" spans="1:130" hidden="1" outlineLevel="2">
      <c r="A1217" s="494"/>
      <c r="B1217" s="523"/>
      <c r="C1217" s="419"/>
      <c r="D1217" s="420"/>
      <c r="E1217" s="380"/>
      <c r="F1217" s="547"/>
      <c r="G1217" s="380"/>
      <c r="H1217" s="381"/>
      <c r="I1217" s="380" t="s">
        <v>3439</v>
      </c>
      <c r="J1217" s="382"/>
      <c r="K1217" s="494"/>
      <c r="L1217" s="494"/>
      <c r="M1217" s="506" t="s">
        <v>813</v>
      </c>
      <c r="N1217" s="506">
        <v>1</v>
      </c>
    </row>
    <row r="1218" spans="1:130" s="407" customFormat="1" ht="99" customHeight="1" outlineLevel="1" collapsed="1">
      <c r="A1218" s="489" t="s">
        <v>3445</v>
      </c>
      <c r="B1218" s="490"/>
      <c r="C1218" s="398" t="s">
        <v>346</v>
      </c>
      <c r="D1218" s="399" t="s">
        <v>391</v>
      </c>
      <c r="E1218" s="490" t="s">
        <v>3446</v>
      </c>
      <c r="F1218" s="385" t="s">
        <v>3438</v>
      </c>
      <c r="G1218" s="385"/>
      <c r="H1218" s="401" t="s">
        <v>608</v>
      </c>
      <c r="I1218" s="385" t="str">
        <f>CONCATENATE(I1219," ",H1219," ","-",N1219," ",M1219)</f>
        <v>ремонт АПВ  -1 шт</v>
      </c>
      <c r="J1218" s="489" t="s">
        <v>365</v>
      </c>
      <c r="K1218" s="450">
        <v>44317</v>
      </c>
      <c r="L1218" s="450">
        <v>44500</v>
      </c>
      <c r="M1218" s="490"/>
      <c r="N1218" s="490"/>
      <c r="O1218" s="406"/>
      <c r="P1218" s="406"/>
      <c r="Q1218" s="406"/>
      <c r="R1218" s="406"/>
      <c r="S1218" s="406"/>
      <c r="T1218" s="406"/>
      <c r="U1218" s="406"/>
      <c r="V1218" s="406"/>
      <c r="W1218" s="406"/>
      <c r="X1218" s="406"/>
      <c r="Y1218" s="406"/>
      <c r="Z1218" s="406"/>
      <c r="AA1218" s="406"/>
      <c r="AB1218" s="406"/>
      <c r="AC1218" s="406"/>
      <c r="AD1218" s="406"/>
      <c r="AE1218" s="406"/>
      <c r="AF1218" s="406"/>
      <c r="AG1218" s="406"/>
      <c r="AH1218" s="406"/>
      <c r="AI1218" s="406"/>
      <c r="AJ1218" s="406"/>
      <c r="AK1218" s="406"/>
      <c r="AL1218" s="406"/>
      <c r="AM1218" s="406"/>
      <c r="AN1218" s="406"/>
      <c r="AO1218" s="406"/>
      <c r="AP1218" s="406"/>
      <c r="AQ1218" s="406"/>
      <c r="AR1218" s="406"/>
      <c r="AS1218" s="406"/>
      <c r="AT1218" s="406"/>
      <c r="AU1218" s="406"/>
      <c r="AV1218" s="406"/>
      <c r="AW1218" s="406"/>
      <c r="AX1218" s="406"/>
      <c r="AY1218" s="406"/>
      <c r="AZ1218" s="406"/>
      <c r="BA1218" s="406"/>
      <c r="BB1218" s="406"/>
      <c r="BC1218" s="406"/>
      <c r="BD1218" s="406"/>
      <c r="BE1218" s="406"/>
      <c r="BF1218" s="406"/>
      <c r="BG1218" s="406"/>
      <c r="BH1218" s="406"/>
      <c r="BI1218" s="406"/>
      <c r="BJ1218" s="406"/>
      <c r="BK1218" s="406"/>
      <c r="BL1218" s="406"/>
      <c r="BM1218" s="406"/>
      <c r="BN1218" s="406"/>
      <c r="BO1218" s="406"/>
      <c r="BP1218" s="406"/>
      <c r="BQ1218" s="406"/>
      <c r="BR1218" s="406"/>
      <c r="BS1218" s="406"/>
      <c r="BT1218" s="406"/>
      <c r="BU1218" s="406"/>
      <c r="BV1218" s="406"/>
      <c r="BW1218" s="406"/>
      <c r="BX1218" s="406"/>
      <c r="BY1218" s="406"/>
      <c r="BZ1218" s="406"/>
      <c r="CA1218" s="406"/>
      <c r="CB1218" s="406"/>
      <c r="CC1218" s="406"/>
      <c r="CD1218" s="406"/>
      <c r="CE1218" s="406"/>
      <c r="CF1218" s="406"/>
      <c r="CG1218" s="406"/>
      <c r="CH1218" s="406"/>
      <c r="CI1218" s="406"/>
      <c r="CJ1218" s="406"/>
      <c r="CK1218" s="406"/>
      <c r="CL1218" s="406"/>
      <c r="CM1218" s="406"/>
      <c r="CN1218" s="406"/>
      <c r="CO1218" s="406"/>
      <c r="CP1218" s="406"/>
      <c r="CQ1218" s="406"/>
      <c r="CR1218" s="406"/>
      <c r="CS1218" s="406"/>
      <c r="CT1218" s="406"/>
      <c r="CU1218" s="406"/>
      <c r="CV1218" s="406"/>
      <c r="CW1218" s="406"/>
      <c r="CX1218" s="406"/>
      <c r="CY1218" s="406"/>
      <c r="CZ1218" s="406"/>
      <c r="DA1218" s="406"/>
      <c r="DB1218" s="406"/>
      <c r="DC1218" s="406"/>
      <c r="DD1218" s="406"/>
      <c r="DE1218" s="406"/>
      <c r="DF1218" s="406"/>
      <c r="DG1218" s="406"/>
      <c r="DH1218" s="406"/>
      <c r="DI1218" s="406"/>
      <c r="DJ1218" s="406"/>
      <c r="DK1218" s="406"/>
      <c r="DL1218" s="406"/>
      <c r="DM1218" s="406"/>
      <c r="DN1218" s="406"/>
      <c r="DO1218" s="406"/>
      <c r="DP1218" s="406"/>
      <c r="DQ1218" s="406"/>
      <c r="DR1218" s="406"/>
      <c r="DS1218" s="406"/>
      <c r="DT1218" s="406"/>
      <c r="DU1218" s="406"/>
      <c r="DV1218" s="406"/>
      <c r="DW1218" s="406"/>
      <c r="DX1218" s="406"/>
      <c r="DY1218" s="406"/>
      <c r="DZ1218" s="406"/>
    </row>
    <row r="1219" spans="1:130" hidden="1" outlineLevel="2">
      <c r="A1219" s="494"/>
      <c r="B1219" s="523"/>
      <c r="C1219" s="419"/>
      <c r="D1219" s="420"/>
      <c r="E1219" s="380"/>
      <c r="F1219" s="547"/>
      <c r="G1219" s="380"/>
      <c r="H1219" s="381"/>
      <c r="I1219" s="380" t="s">
        <v>3439</v>
      </c>
      <c r="J1219" s="382"/>
      <c r="K1219" s="494"/>
      <c r="L1219" s="494"/>
      <c r="M1219" s="506" t="s">
        <v>813</v>
      </c>
      <c r="N1219" s="506">
        <v>1</v>
      </c>
    </row>
    <row r="1220" spans="1:130" s="407" customFormat="1" ht="99" customHeight="1" outlineLevel="1" collapsed="1">
      <c r="A1220" s="489" t="s">
        <v>3447</v>
      </c>
      <c r="B1220" s="490"/>
      <c r="C1220" s="398" t="s">
        <v>346</v>
      </c>
      <c r="D1220" s="399" t="s">
        <v>391</v>
      </c>
      <c r="E1220" s="490" t="s">
        <v>3411</v>
      </c>
      <c r="F1220" s="385" t="s">
        <v>3438</v>
      </c>
      <c r="G1220" s="385"/>
      <c r="H1220" s="401" t="s">
        <v>750</v>
      </c>
      <c r="I1220" s="385" t="str">
        <f>CONCATENATE(I1221," ",H1221," ","-",N1221," ",M1221)</f>
        <v>ремонт АПВ  -3 шт</v>
      </c>
      <c r="J1220" s="489" t="s">
        <v>365</v>
      </c>
      <c r="K1220" s="450">
        <v>44317</v>
      </c>
      <c r="L1220" s="450">
        <v>44500</v>
      </c>
      <c r="M1220" s="490"/>
      <c r="N1220" s="490"/>
      <c r="O1220" s="406"/>
      <c r="P1220" s="406"/>
      <c r="Q1220" s="406"/>
      <c r="R1220" s="406"/>
      <c r="S1220" s="406"/>
      <c r="T1220" s="406"/>
      <c r="U1220" s="406"/>
      <c r="V1220" s="406"/>
      <c r="W1220" s="406"/>
      <c r="X1220" s="406"/>
      <c r="Y1220" s="406"/>
      <c r="Z1220" s="406"/>
      <c r="AA1220" s="406"/>
      <c r="AB1220" s="406"/>
      <c r="AC1220" s="406"/>
      <c r="AD1220" s="406"/>
      <c r="AE1220" s="406"/>
      <c r="AF1220" s="406"/>
      <c r="AG1220" s="406"/>
      <c r="AH1220" s="406"/>
      <c r="AI1220" s="406"/>
      <c r="AJ1220" s="406"/>
      <c r="AK1220" s="406"/>
      <c r="AL1220" s="406"/>
      <c r="AM1220" s="406"/>
      <c r="AN1220" s="406"/>
      <c r="AO1220" s="406"/>
      <c r="AP1220" s="406"/>
      <c r="AQ1220" s="406"/>
      <c r="AR1220" s="406"/>
      <c r="AS1220" s="406"/>
      <c r="AT1220" s="406"/>
      <c r="AU1220" s="406"/>
      <c r="AV1220" s="406"/>
      <c r="AW1220" s="406"/>
      <c r="AX1220" s="406"/>
      <c r="AY1220" s="406"/>
      <c r="AZ1220" s="406"/>
      <c r="BA1220" s="406"/>
      <c r="BB1220" s="406"/>
      <c r="BC1220" s="406"/>
      <c r="BD1220" s="406"/>
      <c r="BE1220" s="406"/>
      <c r="BF1220" s="406"/>
      <c r="BG1220" s="406"/>
      <c r="BH1220" s="406"/>
      <c r="BI1220" s="406"/>
      <c r="BJ1220" s="406"/>
      <c r="BK1220" s="406"/>
      <c r="BL1220" s="406"/>
      <c r="BM1220" s="406"/>
      <c r="BN1220" s="406"/>
      <c r="BO1220" s="406"/>
      <c r="BP1220" s="406"/>
      <c r="BQ1220" s="406"/>
      <c r="BR1220" s="406"/>
      <c r="BS1220" s="406"/>
      <c r="BT1220" s="406"/>
      <c r="BU1220" s="406"/>
      <c r="BV1220" s="406"/>
      <c r="BW1220" s="406"/>
      <c r="BX1220" s="406"/>
      <c r="BY1220" s="406"/>
      <c r="BZ1220" s="406"/>
      <c r="CA1220" s="406"/>
      <c r="CB1220" s="406"/>
      <c r="CC1220" s="406"/>
      <c r="CD1220" s="406"/>
      <c r="CE1220" s="406"/>
      <c r="CF1220" s="406"/>
      <c r="CG1220" s="406"/>
      <c r="CH1220" s="406"/>
      <c r="CI1220" s="406"/>
      <c r="CJ1220" s="406"/>
      <c r="CK1220" s="406"/>
      <c r="CL1220" s="406"/>
      <c r="CM1220" s="406"/>
      <c r="CN1220" s="406"/>
      <c r="CO1220" s="406"/>
      <c r="CP1220" s="406"/>
      <c r="CQ1220" s="406"/>
      <c r="CR1220" s="406"/>
      <c r="CS1220" s="406"/>
      <c r="CT1220" s="406"/>
      <c r="CU1220" s="406"/>
      <c r="CV1220" s="406"/>
      <c r="CW1220" s="406"/>
      <c r="CX1220" s="406"/>
      <c r="CY1220" s="406"/>
      <c r="CZ1220" s="406"/>
      <c r="DA1220" s="406"/>
      <c r="DB1220" s="406"/>
      <c r="DC1220" s="406"/>
      <c r="DD1220" s="406"/>
      <c r="DE1220" s="406"/>
      <c r="DF1220" s="406"/>
      <c r="DG1220" s="406"/>
      <c r="DH1220" s="406"/>
      <c r="DI1220" s="406"/>
      <c r="DJ1220" s="406"/>
      <c r="DK1220" s="406"/>
      <c r="DL1220" s="406"/>
      <c r="DM1220" s="406"/>
      <c r="DN1220" s="406"/>
      <c r="DO1220" s="406"/>
      <c r="DP1220" s="406"/>
      <c r="DQ1220" s="406"/>
      <c r="DR1220" s="406"/>
      <c r="DS1220" s="406"/>
      <c r="DT1220" s="406"/>
      <c r="DU1220" s="406"/>
      <c r="DV1220" s="406"/>
      <c r="DW1220" s="406"/>
      <c r="DX1220" s="406"/>
      <c r="DY1220" s="406"/>
      <c r="DZ1220" s="406"/>
    </row>
    <row r="1221" spans="1:130" hidden="1" outlineLevel="2">
      <c r="A1221" s="494"/>
      <c r="B1221" s="523"/>
      <c r="C1221" s="419"/>
      <c r="D1221" s="420"/>
      <c r="E1221" s="380"/>
      <c r="F1221" s="547"/>
      <c r="G1221" s="380"/>
      <c r="H1221" s="381"/>
      <c r="I1221" s="380" t="s">
        <v>3439</v>
      </c>
      <c r="J1221" s="382"/>
      <c r="K1221" s="494"/>
      <c r="L1221" s="494"/>
      <c r="M1221" s="506" t="s">
        <v>813</v>
      </c>
      <c r="N1221" s="506">
        <v>3</v>
      </c>
    </row>
    <row r="1222" spans="1:130" s="407" customFormat="1" ht="99" customHeight="1" outlineLevel="1" collapsed="1">
      <c r="A1222" s="489" t="s">
        <v>3448</v>
      </c>
      <c r="B1222" s="490"/>
      <c r="C1222" s="398" t="s">
        <v>346</v>
      </c>
      <c r="D1222" s="399" t="s">
        <v>391</v>
      </c>
      <c r="E1222" s="490" t="s">
        <v>3412</v>
      </c>
      <c r="F1222" s="385" t="s">
        <v>3438</v>
      </c>
      <c r="G1222" s="385"/>
      <c r="H1222" s="401" t="s">
        <v>635</v>
      </c>
      <c r="I1222" s="385" t="str">
        <f>CONCATENATE(I1223," ",H1223," ","-",N1223," ",M1223)</f>
        <v>ремонт АПВ  -1 шт</v>
      </c>
      <c r="J1222" s="489" t="s">
        <v>365</v>
      </c>
      <c r="K1222" s="450">
        <v>44317</v>
      </c>
      <c r="L1222" s="450">
        <v>44500</v>
      </c>
      <c r="M1222" s="490"/>
      <c r="N1222" s="490"/>
      <c r="O1222" s="406"/>
      <c r="P1222" s="406"/>
      <c r="Q1222" s="406"/>
      <c r="R1222" s="406"/>
      <c r="S1222" s="406"/>
      <c r="T1222" s="406"/>
      <c r="U1222" s="406"/>
      <c r="V1222" s="406"/>
      <c r="W1222" s="406"/>
      <c r="X1222" s="406"/>
      <c r="Y1222" s="406"/>
      <c r="Z1222" s="406"/>
      <c r="AA1222" s="406"/>
      <c r="AB1222" s="406"/>
      <c r="AC1222" s="406"/>
      <c r="AD1222" s="406"/>
      <c r="AE1222" s="406"/>
      <c r="AF1222" s="406"/>
      <c r="AG1222" s="406"/>
      <c r="AH1222" s="406"/>
      <c r="AI1222" s="406"/>
      <c r="AJ1222" s="406"/>
      <c r="AK1222" s="406"/>
      <c r="AL1222" s="406"/>
      <c r="AM1222" s="406"/>
      <c r="AN1222" s="406"/>
      <c r="AO1222" s="406"/>
      <c r="AP1222" s="406"/>
      <c r="AQ1222" s="406"/>
      <c r="AR1222" s="406"/>
      <c r="AS1222" s="406"/>
      <c r="AT1222" s="406"/>
      <c r="AU1222" s="406"/>
      <c r="AV1222" s="406"/>
      <c r="AW1222" s="406"/>
      <c r="AX1222" s="406"/>
      <c r="AY1222" s="406"/>
      <c r="AZ1222" s="406"/>
      <c r="BA1222" s="406"/>
      <c r="BB1222" s="406"/>
      <c r="BC1222" s="406"/>
      <c r="BD1222" s="406"/>
      <c r="BE1222" s="406"/>
      <c r="BF1222" s="406"/>
      <c r="BG1222" s="406"/>
      <c r="BH1222" s="406"/>
      <c r="BI1222" s="406"/>
      <c r="BJ1222" s="406"/>
      <c r="BK1222" s="406"/>
      <c r="BL1222" s="406"/>
      <c r="BM1222" s="406"/>
      <c r="BN1222" s="406"/>
      <c r="BO1222" s="406"/>
      <c r="BP1222" s="406"/>
      <c r="BQ1222" s="406"/>
      <c r="BR1222" s="406"/>
      <c r="BS1222" s="406"/>
      <c r="BT1222" s="406"/>
      <c r="BU1222" s="406"/>
      <c r="BV1222" s="406"/>
      <c r="BW1222" s="406"/>
      <c r="BX1222" s="406"/>
      <c r="BY1222" s="406"/>
      <c r="BZ1222" s="406"/>
      <c r="CA1222" s="406"/>
      <c r="CB1222" s="406"/>
      <c r="CC1222" s="406"/>
      <c r="CD1222" s="406"/>
      <c r="CE1222" s="406"/>
      <c r="CF1222" s="406"/>
      <c r="CG1222" s="406"/>
      <c r="CH1222" s="406"/>
      <c r="CI1222" s="406"/>
      <c r="CJ1222" s="406"/>
      <c r="CK1222" s="406"/>
      <c r="CL1222" s="406"/>
      <c r="CM1222" s="406"/>
      <c r="CN1222" s="406"/>
      <c r="CO1222" s="406"/>
      <c r="CP1222" s="406"/>
      <c r="CQ1222" s="406"/>
      <c r="CR1222" s="406"/>
      <c r="CS1222" s="406"/>
      <c r="CT1222" s="406"/>
      <c r="CU1222" s="406"/>
      <c r="CV1222" s="406"/>
      <c r="CW1222" s="406"/>
      <c r="CX1222" s="406"/>
      <c r="CY1222" s="406"/>
      <c r="CZ1222" s="406"/>
      <c r="DA1222" s="406"/>
      <c r="DB1222" s="406"/>
      <c r="DC1222" s="406"/>
      <c r="DD1222" s="406"/>
      <c r="DE1222" s="406"/>
      <c r="DF1222" s="406"/>
      <c r="DG1222" s="406"/>
      <c r="DH1222" s="406"/>
      <c r="DI1222" s="406"/>
      <c r="DJ1222" s="406"/>
      <c r="DK1222" s="406"/>
      <c r="DL1222" s="406"/>
      <c r="DM1222" s="406"/>
      <c r="DN1222" s="406"/>
      <c r="DO1222" s="406"/>
      <c r="DP1222" s="406"/>
      <c r="DQ1222" s="406"/>
      <c r="DR1222" s="406"/>
      <c r="DS1222" s="406"/>
      <c r="DT1222" s="406"/>
      <c r="DU1222" s="406"/>
      <c r="DV1222" s="406"/>
      <c r="DW1222" s="406"/>
      <c r="DX1222" s="406"/>
      <c r="DY1222" s="406"/>
      <c r="DZ1222" s="406"/>
    </row>
    <row r="1223" spans="1:130" hidden="1" outlineLevel="2">
      <c r="A1223" s="494"/>
      <c r="B1223" s="523"/>
      <c r="C1223" s="419"/>
      <c r="D1223" s="420"/>
      <c r="E1223" s="380"/>
      <c r="F1223" s="547"/>
      <c r="G1223" s="380"/>
      <c r="H1223" s="381"/>
      <c r="I1223" s="380" t="s">
        <v>3439</v>
      </c>
      <c r="J1223" s="382"/>
      <c r="K1223" s="494"/>
      <c r="L1223" s="494"/>
      <c r="M1223" s="506" t="s">
        <v>813</v>
      </c>
      <c r="N1223" s="506">
        <v>1</v>
      </c>
    </row>
    <row r="1224" spans="1:130" s="407" customFormat="1" ht="99" customHeight="1" outlineLevel="1" collapsed="1">
      <c r="A1224" s="489" t="s">
        <v>3449</v>
      </c>
      <c r="B1224" s="490"/>
      <c r="C1224" s="398" t="s">
        <v>346</v>
      </c>
      <c r="D1224" s="399" t="s">
        <v>391</v>
      </c>
      <c r="E1224" s="490" t="s">
        <v>1696</v>
      </c>
      <c r="F1224" s="385" t="s">
        <v>3438</v>
      </c>
      <c r="G1224" s="385"/>
      <c r="H1224" s="401" t="s">
        <v>1823</v>
      </c>
      <c r="I1224" s="385" t="str">
        <f>CONCATENATE(I1225," ",H1225," ","-",N1225," ",M1225)</f>
        <v>ремонт АПВ  -3 шт</v>
      </c>
      <c r="J1224" s="489" t="s">
        <v>365</v>
      </c>
      <c r="K1224" s="450">
        <v>44317</v>
      </c>
      <c r="L1224" s="450">
        <v>44500</v>
      </c>
      <c r="M1224" s="490"/>
      <c r="N1224" s="490"/>
      <c r="O1224" s="406"/>
      <c r="P1224" s="406"/>
      <c r="Q1224" s="406"/>
      <c r="R1224" s="406"/>
      <c r="S1224" s="406"/>
      <c r="T1224" s="406"/>
      <c r="U1224" s="406"/>
      <c r="V1224" s="406"/>
      <c r="W1224" s="406"/>
      <c r="X1224" s="406"/>
      <c r="Y1224" s="406"/>
      <c r="Z1224" s="406"/>
      <c r="AA1224" s="406"/>
      <c r="AB1224" s="406"/>
      <c r="AC1224" s="406"/>
      <c r="AD1224" s="406"/>
      <c r="AE1224" s="406"/>
      <c r="AF1224" s="406"/>
      <c r="AG1224" s="406"/>
      <c r="AH1224" s="406"/>
      <c r="AI1224" s="406"/>
      <c r="AJ1224" s="406"/>
      <c r="AK1224" s="406"/>
      <c r="AL1224" s="406"/>
      <c r="AM1224" s="406"/>
      <c r="AN1224" s="406"/>
      <c r="AO1224" s="406"/>
      <c r="AP1224" s="406"/>
      <c r="AQ1224" s="406"/>
      <c r="AR1224" s="406"/>
      <c r="AS1224" s="406"/>
      <c r="AT1224" s="406"/>
      <c r="AU1224" s="406"/>
      <c r="AV1224" s="406"/>
      <c r="AW1224" s="406"/>
      <c r="AX1224" s="406"/>
      <c r="AY1224" s="406"/>
      <c r="AZ1224" s="406"/>
      <c r="BA1224" s="406"/>
      <c r="BB1224" s="406"/>
      <c r="BC1224" s="406"/>
      <c r="BD1224" s="406"/>
      <c r="BE1224" s="406"/>
      <c r="BF1224" s="406"/>
      <c r="BG1224" s="406"/>
      <c r="BH1224" s="406"/>
      <c r="BI1224" s="406"/>
      <c r="BJ1224" s="406"/>
      <c r="BK1224" s="406"/>
      <c r="BL1224" s="406"/>
      <c r="BM1224" s="406"/>
      <c r="BN1224" s="406"/>
      <c r="BO1224" s="406"/>
      <c r="BP1224" s="406"/>
      <c r="BQ1224" s="406"/>
      <c r="BR1224" s="406"/>
      <c r="BS1224" s="406"/>
      <c r="BT1224" s="406"/>
      <c r="BU1224" s="406"/>
      <c r="BV1224" s="406"/>
      <c r="BW1224" s="406"/>
      <c r="BX1224" s="406"/>
      <c r="BY1224" s="406"/>
      <c r="BZ1224" s="406"/>
      <c r="CA1224" s="406"/>
      <c r="CB1224" s="406"/>
      <c r="CC1224" s="406"/>
      <c r="CD1224" s="406"/>
      <c r="CE1224" s="406"/>
      <c r="CF1224" s="406"/>
      <c r="CG1224" s="406"/>
      <c r="CH1224" s="406"/>
      <c r="CI1224" s="406"/>
      <c r="CJ1224" s="406"/>
      <c r="CK1224" s="406"/>
      <c r="CL1224" s="406"/>
      <c r="CM1224" s="406"/>
      <c r="CN1224" s="406"/>
      <c r="CO1224" s="406"/>
      <c r="CP1224" s="406"/>
      <c r="CQ1224" s="406"/>
      <c r="CR1224" s="406"/>
      <c r="CS1224" s="406"/>
      <c r="CT1224" s="406"/>
      <c r="CU1224" s="406"/>
      <c r="CV1224" s="406"/>
      <c r="CW1224" s="406"/>
      <c r="CX1224" s="406"/>
      <c r="CY1224" s="406"/>
      <c r="CZ1224" s="406"/>
      <c r="DA1224" s="406"/>
      <c r="DB1224" s="406"/>
      <c r="DC1224" s="406"/>
      <c r="DD1224" s="406"/>
      <c r="DE1224" s="406"/>
      <c r="DF1224" s="406"/>
      <c r="DG1224" s="406"/>
      <c r="DH1224" s="406"/>
      <c r="DI1224" s="406"/>
      <c r="DJ1224" s="406"/>
      <c r="DK1224" s="406"/>
      <c r="DL1224" s="406"/>
      <c r="DM1224" s="406"/>
      <c r="DN1224" s="406"/>
      <c r="DO1224" s="406"/>
      <c r="DP1224" s="406"/>
      <c r="DQ1224" s="406"/>
      <c r="DR1224" s="406"/>
      <c r="DS1224" s="406"/>
      <c r="DT1224" s="406"/>
      <c r="DU1224" s="406"/>
      <c r="DV1224" s="406"/>
      <c r="DW1224" s="406"/>
      <c r="DX1224" s="406"/>
      <c r="DY1224" s="406"/>
      <c r="DZ1224" s="406"/>
    </row>
    <row r="1225" spans="1:130" hidden="1" outlineLevel="2">
      <c r="A1225" s="494"/>
      <c r="B1225" s="523"/>
      <c r="C1225" s="419"/>
      <c r="D1225" s="420"/>
      <c r="E1225" s="380"/>
      <c r="F1225" s="547"/>
      <c r="G1225" s="380"/>
      <c r="H1225" s="381"/>
      <c r="I1225" s="380" t="s">
        <v>3439</v>
      </c>
      <c r="J1225" s="382"/>
      <c r="K1225" s="494"/>
      <c r="L1225" s="494"/>
      <c r="M1225" s="506" t="s">
        <v>813</v>
      </c>
      <c r="N1225" s="506">
        <v>3</v>
      </c>
    </row>
    <row r="1226" spans="1:130" s="407" customFormat="1" ht="99" customHeight="1" outlineLevel="1" collapsed="1">
      <c r="A1226" s="489" t="s">
        <v>3450</v>
      </c>
      <c r="B1226" s="490"/>
      <c r="C1226" s="398" t="s">
        <v>346</v>
      </c>
      <c r="D1226" s="399" t="s">
        <v>391</v>
      </c>
      <c r="E1226" s="490" t="s">
        <v>3451</v>
      </c>
      <c r="F1226" s="385" t="s">
        <v>3438</v>
      </c>
      <c r="G1226" s="385"/>
      <c r="H1226" s="401" t="s">
        <v>553</v>
      </c>
      <c r="I1226" s="385" t="str">
        <f>CONCATENATE(I1227," ",H1227," ","-",N1227," ",M1227)</f>
        <v>ремонт АПВ  -1 шт</v>
      </c>
      <c r="J1226" s="489" t="s">
        <v>365</v>
      </c>
      <c r="K1226" s="450">
        <v>44317</v>
      </c>
      <c r="L1226" s="450">
        <v>44500</v>
      </c>
      <c r="M1226" s="490"/>
      <c r="N1226" s="490"/>
      <c r="O1226" s="406"/>
      <c r="P1226" s="406"/>
      <c r="Q1226" s="406"/>
      <c r="R1226" s="406"/>
      <c r="S1226" s="406"/>
      <c r="T1226" s="406"/>
      <c r="U1226" s="406"/>
      <c r="V1226" s="406"/>
      <c r="W1226" s="406"/>
      <c r="X1226" s="406"/>
      <c r="Y1226" s="406"/>
      <c r="Z1226" s="406"/>
      <c r="AA1226" s="406"/>
      <c r="AB1226" s="406"/>
      <c r="AC1226" s="406"/>
      <c r="AD1226" s="406"/>
      <c r="AE1226" s="406"/>
      <c r="AF1226" s="406"/>
      <c r="AG1226" s="406"/>
      <c r="AH1226" s="406"/>
      <c r="AI1226" s="406"/>
      <c r="AJ1226" s="406"/>
      <c r="AK1226" s="406"/>
      <c r="AL1226" s="406"/>
      <c r="AM1226" s="406"/>
      <c r="AN1226" s="406"/>
      <c r="AO1226" s="406"/>
      <c r="AP1226" s="406"/>
      <c r="AQ1226" s="406"/>
      <c r="AR1226" s="406"/>
      <c r="AS1226" s="406"/>
      <c r="AT1226" s="406"/>
      <c r="AU1226" s="406"/>
      <c r="AV1226" s="406"/>
      <c r="AW1226" s="406"/>
      <c r="AX1226" s="406"/>
      <c r="AY1226" s="406"/>
      <c r="AZ1226" s="406"/>
      <c r="BA1226" s="406"/>
      <c r="BB1226" s="406"/>
      <c r="BC1226" s="406"/>
      <c r="BD1226" s="406"/>
      <c r="BE1226" s="406"/>
      <c r="BF1226" s="406"/>
      <c r="BG1226" s="406"/>
      <c r="BH1226" s="406"/>
      <c r="BI1226" s="406"/>
      <c r="BJ1226" s="406"/>
      <c r="BK1226" s="406"/>
      <c r="BL1226" s="406"/>
      <c r="BM1226" s="406"/>
      <c r="BN1226" s="406"/>
      <c r="BO1226" s="406"/>
      <c r="BP1226" s="406"/>
      <c r="BQ1226" s="406"/>
      <c r="BR1226" s="406"/>
      <c r="BS1226" s="406"/>
      <c r="BT1226" s="406"/>
      <c r="BU1226" s="406"/>
      <c r="BV1226" s="406"/>
      <c r="BW1226" s="406"/>
      <c r="BX1226" s="406"/>
      <c r="BY1226" s="406"/>
      <c r="BZ1226" s="406"/>
      <c r="CA1226" s="406"/>
      <c r="CB1226" s="406"/>
      <c r="CC1226" s="406"/>
      <c r="CD1226" s="406"/>
      <c r="CE1226" s="406"/>
      <c r="CF1226" s="406"/>
      <c r="CG1226" s="406"/>
      <c r="CH1226" s="406"/>
      <c r="CI1226" s="406"/>
      <c r="CJ1226" s="406"/>
      <c r="CK1226" s="406"/>
      <c r="CL1226" s="406"/>
      <c r="CM1226" s="406"/>
      <c r="CN1226" s="406"/>
      <c r="CO1226" s="406"/>
      <c r="CP1226" s="406"/>
      <c r="CQ1226" s="406"/>
      <c r="CR1226" s="406"/>
      <c r="CS1226" s="406"/>
      <c r="CT1226" s="406"/>
      <c r="CU1226" s="406"/>
      <c r="CV1226" s="406"/>
      <c r="CW1226" s="406"/>
      <c r="CX1226" s="406"/>
      <c r="CY1226" s="406"/>
      <c r="CZ1226" s="406"/>
      <c r="DA1226" s="406"/>
      <c r="DB1226" s="406"/>
      <c r="DC1226" s="406"/>
      <c r="DD1226" s="406"/>
      <c r="DE1226" s="406"/>
      <c r="DF1226" s="406"/>
      <c r="DG1226" s="406"/>
      <c r="DH1226" s="406"/>
      <c r="DI1226" s="406"/>
      <c r="DJ1226" s="406"/>
      <c r="DK1226" s="406"/>
      <c r="DL1226" s="406"/>
      <c r="DM1226" s="406"/>
      <c r="DN1226" s="406"/>
      <c r="DO1226" s="406"/>
      <c r="DP1226" s="406"/>
      <c r="DQ1226" s="406"/>
      <c r="DR1226" s="406"/>
      <c r="DS1226" s="406"/>
      <c r="DT1226" s="406"/>
      <c r="DU1226" s="406"/>
      <c r="DV1226" s="406"/>
      <c r="DW1226" s="406"/>
      <c r="DX1226" s="406"/>
      <c r="DY1226" s="406"/>
      <c r="DZ1226" s="406"/>
    </row>
    <row r="1227" spans="1:130" hidden="1" outlineLevel="2">
      <c r="A1227" s="494"/>
      <c r="B1227" s="523"/>
      <c r="C1227" s="419"/>
      <c r="D1227" s="420"/>
      <c r="E1227" s="380"/>
      <c r="F1227" s="547"/>
      <c r="G1227" s="380"/>
      <c r="H1227" s="381"/>
      <c r="I1227" s="380" t="s">
        <v>3439</v>
      </c>
      <c r="J1227" s="382"/>
      <c r="K1227" s="494"/>
      <c r="L1227" s="494"/>
      <c r="M1227" s="506" t="s">
        <v>813</v>
      </c>
      <c r="N1227" s="506">
        <v>1</v>
      </c>
    </row>
    <row r="1228" spans="1:130" s="407" customFormat="1" ht="99" customHeight="1" outlineLevel="1" collapsed="1">
      <c r="A1228" s="489" t="s">
        <v>3452</v>
      </c>
      <c r="B1228" s="490"/>
      <c r="C1228" s="398" t="s">
        <v>346</v>
      </c>
      <c r="D1228" s="399" t="s">
        <v>391</v>
      </c>
      <c r="E1228" s="490" t="s">
        <v>3453</v>
      </c>
      <c r="F1228" s="385" t="s">
        <v>3438</v>
      </c>
      <c r="G1228" s="385"/>
      <c r="H1228" s="401" t="s">
        <v>595</v>
      </c>
      <c r="I1228" s="385" t="str">
        <f>CONCATENATE(I1229," ",H1229," ","-",N1229," ",M1229)</f>
        <v>ремонт АПВ  -1 шт</v>
      </c>
      <c r="J1228" s="489" t="s">
        <v>365</v>
      </c>
      <c r="K1228" s="450">
        <v>44317</v>
      </c>
      <c r="L1228" s="450">
        <v>44500</v>
      </c>
      <c r="M1228" s="490"/>
      <c r="N1228" s="490"/>
      <c r="O1228" s="406"/>
      <c r="P1228" s="406"/>
      <c r="Q1228" s="406"/>
      <c r="R1228" s="406"/>
      <c r="S1228" s="406"/>
      <c r="T1228" s="406"/>
      <c r="U1228" s="406"/>
      <c r="V1228" s="406"/>
      <c r="W1228" s="406"/>
      <c r="X1228" s="406"/>
      <c r="Y1228" s="406"/>
      <c r="Z1228" s="406"/>
      <c r="AA1228" s="406"/>
      <c r="AB1228" s="406"/>
      <c r="AC1228" s="406"/>
      <c r="AD1228" s="406"/>
      <c r="AE1228" s="406"/>
      <c r="AF1228" s="406"/>
      <c r="AG1228" s="406"/>
      <c r="AH1228" s="406"/>
      <c r="AI1228" s="406"/>
      <c r="AJ1228" s="406"/>
      <c r="AK1228" s="406"/>
      <c r="AL1228" s="406"/>
      <c r="AM1228" s="406"/>
      <c r="AN1228" s="406"/>
      <c r="AO1228" s="406"/>
      <c r="AP1228" s="406"/>
      <c r="AQ1228" s="406"/>
      <c r="AR1228" s="406"/>
      <c r="AS1228" s="406"/>
      <c r="AT1228" s="406"/>
      <c r="AU1228" s="406"/>
      <c r="AV1228" s="406"/>
      <c r="AW1228" s="406"/>
      <c r="AX1228" s="406"/>
      <c r="AY1228" s="406"/>
      <c r="AZ1228" s="406"/>
      <c r="BA1228" s="406"/>
      <c r="BB1228" s="406"/>
      <c r="BC1228" s="406"/>
      <c r="BD1228" s="406"/>
      <c r="BE1228" s="406"/>
      <c r="BF1228" s="406"/>
      <c r="BG1228" s="406"/>
      <c r="BH1228" s="406"/>
      <c r="BI1228" s="406"/>
      <c r="BJ1228" s="406"/>
      <c r="BK1228" s="406"/>
      <c r="BL1228" s="406"/>
      <c r="BM1228" s="406"/>
      <c r="BN1228" s="406"/>
      <c r="BO1228" s="406"/>
      <c r="BP1228" s="406"/>
      <c r="BQ1228" s="406"/>
      <c r="BR1228" s="406"/>
      <c r="BS1228" s="406"/>
      <c r="BT1228" s="406"/>
      <c r="BU1228" s="406"/>
      <c r="BV1228" s="406"/>
      <c r="BW1228" s="406"/>
      <c r="BX1228" s="406"/>
      <c r="BY1228" s="406"/>
      <c r="BZ1228" s="406"/>
      <c r="CA1228" s="406"/>
      <c r="CB1228" s="406"/>
      <c r="CC1228" s="406"/>
      <c r="CD1228" s="406"/>
      <c r="CE1228" s="406"/>
      <c r="CF1228" s="406"/>
      <c r="CG1228" s="406"/>
      <c r="CH1228" s="406"/>
      <c r="CI1228" s="406"/>
      <c r="CJ1228" s="406"/>
      <c r="CK1228" s="406"/>
      <c r="CL1228" s="406"/>
      <c r="CM1228" s="406"/>
      <c r="CN1228" s="406"/>
      <c r="CO1228" s="406"/>
      <c r="CP1228" s="406"/>
      <c r="CQ1228" s="406"/>
      <c r="CR1228" s="406"/>
      <c r="CS1228" s="406"/>
      <c r="CT1228" s="406"/>
      <c r="CU1228" s="406"/>
      <c r="CV1228" s="406"/>
      <c r="CW1228" s="406"/>
      <c r="CX1228" s="406"/>
      <c r="CY1228" s="406"/>
      <c r="CZ1228" s="406"/>
      <c r="DA1228" s="406"/>
      <c r="DB1228" s="406"/>
      <c r="DC1228" s="406"/>
      <c r="DD1228" s="406"/>
      <c r="DE1228" s="406"/>
      <c r="DF1228" s="406"/>
      <c r="DG1228" s="406"/>
      <c r="DH1228" s="406"/>
      <c r="DI1228" s="406"/>
      <c r="DJ1228" s="406"/>
      <c r="DK1228" s="406"/>
      <c r="DL1228" s="406"/>
      <c r="DM1228" s="406"/>
      <c r="DN1228" s="406"/>
      <c r="DO1228" s="406"/>
      <c r="DP1228" s="406"/>
      <c r="DQ1228" s="406"/>
      <c r="DR1228" s="406"/>
      <c r="DS1228" s="406"/>
      <c r="DT1228" s="406"/>
      <c r="DU1228" s="406"/>
      <c r="DV1228" s="406"/>
      <c r="DW1228" s="406"/>
      <c r="DX1228" s="406"/>
      <c r="DY1228" s="406"/>
      <c r="DZ1228" s="406"/>
    </row>
    <row r="1229" spans="1:130" hidden="1" outlineLevel="2">
      <c r="A1229" s="494"/>
      <c r="B1229" s="523"/>
      <c r="C1229" s="419"/>
      <c r="D1229" s="420"/>
      <c r="E1229" s="380"/>
      <c r="F1229" s="547"/>
      <c r="G1229" s="380"/>
      <c r="H1229" s="381"/>
      <c r="I1229" s="380" t="s">
        <v>3439</v>
      </c>
      <c r="J1229" s="382"/>
      <c r="K1229" s="494"/>
      <c r="L1229" s="494"/>
      <c r="M1229" s="506" t="s">
        <v>813</v>
      </c>
      <c r="N1229" s="506">
        <v>1</v>
      </c>
    </row>
    <row r="1230" spans="1:130" s="407" customFormat="1" ht="99" customHeight="1" outlineLevel="1" collapsed="1">
      <c r="A1230" s="489" t="s">
        <v>3454</v>
      </c>
      <c r="B1230" s="490"/>
      <c r="C1230" s="398" t="s">
        <v>346</v>
      </c>
      <c r="D1230" s="399" t="s">
        <v>391</v>
      </c>
      <c r="E1230" s="490" t="s">
        <v>3455</v>
      </c>
      <c r="F1230" s="385" t="s">
        <v>3438</v>
      </c>
      <c r="G1230" s="385"/>
      <c r="H1230" s="401" t="s">
        <v>3456</v>
      </c>
      <c r="I1230" s="385" t="str">
        <f>CONCATENATE(I1231," ",H1231," ","-",N1231," ",M1231)</f>
        <v>ремонт АПВ  -1 шт</v>
      </c>
      <c r="J1230" s="489" t="s">
        <v>365</v>
      </c>
      <c r="K1230" s="450">
        <v>44317</v>
      </c>
      <c r="L1230" s="450">
        <v>44500</v>
      </c>
      <c r="M1230" s="490"/>
      <c r="N1230" s="490"/>
      <c r="O1230" s="406"/>
      <c r="P1230" s="406"/>
      <c r="Q1230" s="406"/>
      <c r="R1230" s="406"/>
      <c r="S1230" s="406"/>
      <c r="T1230" s="406"/>
      <c r="U1230" s="406"/>
      <c r="V1230" s="406"/>
      <c r="W1230" s="406"/>
      <c r="X1230" s="406"/>
      <c r="Y1230" s="406"/>
      <c r="Z1230" s="406"/>
      <c r="AA1230" s="406"/>
      <c r="AB1230" s="406"/>
      <c r="AC1230" s="406"/>
      <c r="AD1230" s="406"/>
      <c r="AE1230" s="406"/>
      <c r="AF1230" s="406"/>
      <c r="AG1230" s="406"/>
      <c r="AH1230" s="406"/>
      <c r="AI1230" s="406"/>
      <c r="AJ1230" s="406"/>
      <c r="AK1230" s="406"/>
      <c r="AL1230" s="406"/>
      <c r="AM1230" s="406"/>
      <c r="AN1230" s="406"/>
      <c r="AO1230" s="406"/>
      <c r="AP1230" s="406"/>
      <c r="AQ1230" s="406"/>
      <c r="AR1230" s="406"/>
      <c r="AS1230" s="406"/>
      <c r="AT1230" s="406"/>
      <c r="AU1230" s="406"/>
      <c r="AV1230" s="406"/>
      <c r="AW1230" s="406"/>
      <c r="AX1230" s="406"/>
      <c r="AY1230" s="406"/>
      <c r="AZ1230" s="406"/>
      <c r="BA1230" s="406"/>
      <c r="BB1230" s="406"/>
      <c r="BC1230" s="406"/>
      <c r="BD1230" s="406"/>
      <c r="BE1230" s="406"/>
      <c r="BF1230" s="406"/>
      <c r="BG1230" s="406"/>
      <c r="BH1230" s="406"/>
      <c r="BI1230" s="406"/>
      <c r="BJ1230" s="406"/>
      <c r="BK1230" s="406"/>
      <c r="BL1230" s="406"/>
      <c r="BM1230" s="406"/>
      <c r="BN1230" s="406"/>
      <c r="BO1230" s="406"/>
      <c r="BP1230" s="406"/>
      <c r="BQ1230" s="406"/>
      <c r="BR1230" s="406"/>
      <c r="BS1230" s="406"/>
      <c r="BT1230" s="406"/>
      <c r="BU1230" s="406"/>
      <c r="BV1230" s="406"/>
      <c r="BW1230" s="406"/>
      <c r="BX1230" s="406"/>
      <c r="BY1230" s="406"/>
      <c r="BZ1230" s="406"/>
      <c r="CA1230" s="406"/>
      <c r="CB1230" s="406"/>
      <c r="CC1230" s="406"/>
      <c r="CD1230" s="406"/>
      <c r="CE1230" s="406"/>
      <c r="CF1230" s="406"/>
      <c r="CG1230" s="406"/>
      <c r="CH1230" s="406"/>
      <c r="CI1230" s="406"/>
      <c r="CJ1230" s="406"/>
      <c r="CK1230" s="406"/>
      <c r="CL1230" s="406"/>
      <c r="CM1230" s="406"/>
      <c r="CN1230" s="406"/>
      <c r="CO1230" s="406"/>
      <c r="CP1230" s="406"/>
      <c r="CQ1230" s="406"/>
      <c r="CR1230" s="406"/>
      <c r="CS1230" s="406"/>
      <c r="CT1230" s="406"/>
      <c r="CU1230" s="406"/>
      <c r="CV1230" s="406"/>
      <c r="CW1230" s="406"/>
      <c r="CX1230" s="406"/>
      <c r="CY1230" s="406"/>
      <c r="CZ1230" s="406"/>
      <c r="DA1230" s="406"/>
      <c r="DB1230" s="406"/>
      <c r="DC1230" s="406"/>
      <c r="DD1230" s="406"/>
      <c r="DE1230" s="406"/>
      <c r="DF1230" s="406"/>
      <c r="DG1230" s="406"/>
      <c r="DH1230" s="406"/>
      <c r="DI1230" s="406"/>
      <c r="DJ1230" s="406"/>
      <c r="DK1230" s="406"/>
      <c r="DL1230" s="406"/>
      <c r="DM1230" s="406"/>
      <c r="DN1230" s="406"/>
      <c r="DO1230" s="406"/>
      <c r="DP1230" s="406"/>
      <c r="DQ1230" s="406"/>
      <c r="DR1230" s="406"/>
      <c r="DS1230" s="406"/>
      <c r="DT1230" s="406"/>
      <c r="DU1230" s="406"/>
      <c r="DV1230" s="406"/>
      <c r="DW1230" s="406"/>
      <c r="DX1230" s="406"/>
      <c r="DY1230" s="406"/>
      <c r="DZ1230" s="406"/>
    </row>
    <row r="1231" spans="1:130" hidden="1" outlineLevel="2">
      <c r="A1231" s="494"/>
      <c r="B1231" s="523"/>
      <c r="C1231" s="419"/>
      <c r="D1231" s="420"/>
      <c r="E1231" s="380"/>
      <c r="F1231" s="547"/>
      <c r="G1231" s="380"/>
      <c r="H1231" s="381"/>
      <c r="I1231" s="380" t="s">
        <v>3439</v>
      </c>
      <c r="J1231" s="382"/>
      <c r="K1231" s="494"/>
      <c r="L1231" s="494"/>
      <c r="M1231" s="506" t="s">
        <v>813</v>
      </c>
      <c r="N1231" s="506">
        <v>1</v>
      </c>
    </row>
    <row r="1232" spans="1:130" s="407" customFormat="1" ht="99" customHeight="1" outlineLevel="1" collapsed="1">
      <c r="A1232" s="489" t="s">
        <v>3457</v>
      </c>
      <c r="B1232" s="490"/>
      <c r="C1232" s="398" t="s">
        <v>346</v>
      </c>
      <c r="D1232" s="399" t="s">
        <v>391</v>
      </c>
      <c r="E1232" s="490" t="s">
        <v>3458</v>
      </c>
      <c r="F1232" s="385" t="s">
        <v>3438</v>
      </c>
      <c r="G1232" s="385"/>
      <c r="H1232" s="401" t="s">
        <v>581</v>
      </c>
      <c r="I1232" s="385" t="str">
        <f>CONCATENATE(I1233," ",H1233," ","-",N1233," ",M1233)</f>
        <v>ремонт АПВ  -1 шт</v>
      </c>
      <c r="J1232" s="489" t="s">
        <v>365</v>
      </c>
      <c r="K1232" s="450">
        <v>44317</v>
      </c>
      <c r="L1232" s="450">
        <v>44500</v>
      </c>
      <c r="M1232" s="490"/>
      <c r="N1232" s="490"/>
      <c r="O1232" s="406"/>
      <c r="P1232" s="406"/>
      <c r="Q1232" s="406"/>
      <c r="R1232" s="406"/>
      <c r="S1232" s="406"/>
      <c r="T1232" s="406"/>
      <c r="U1232" s="406"/>
      <c r="V1232" s="406"/>
      <c r="W1232" s="406"/>
      <c r="X1232" s="406"/>
      <c r="Y1232" s="406"/>
      <c r="Z1232" s="406"/>
      <c r="AA1232" s="406"/>
      <c r="AB1232" s="406"/>
      <c r="AC1232" s="406"/>
      <c r="AD1232" s="406"/>
      <c r="AE1232" s="406"/>
      <c r="AF1232" s="406"/>
      <c r="AG1232" s="406"/>
      <c r="AH1232" s="406"/>
      <c r="AI1232" s="406"/>
      <c r="AJ1232" s="406"/>
      <c r="AK1232" s="406"/>
      <c r="AL1232" s="406"/>
      <c r="AM1232" s="406"/>
      <c r="AN1232" s="406"/>
      <c r="AO1232" s="406"/>
      <c r="AP1232" s="406"/>
      <c r="AQ1232" s="406"/>
      <c r="AR1232" s="406"/>
      <c r="AS1232" s="406"/>
      <c r="AT1232" s="406"/>
      <c r="AU1232" s="406"/>
      <c r="AV1232" s="406"/>
      <c r="AW1232" s="406"/>
      <c r="AX1232" s="406"/>
      <c r="AY1232" s="406"/>
      <c r="AZ1232" s="406"/>
      <c r="BA1232" s="406"/>
      <c r="BB1232" s="406"/>
      <c r="BC1232" s="406"/>
      <c r="BD1232" s="406"/>
      <c r="BE1232" s="406"/>
      <c r="BF1232" s="406"/>
      <c r="BG1232" s="406"/>
      <c r="BH1232" s="406"/>
      <c r="BI1232" s="406"/>
      <c r="BJ1232" s="406"/>
      <c r="BK1232" s="406"/>
      <c r="BL1232" s="406"/>
      <c r="BM1232" s="406"/>
      <c r="BN1232" s="406"/>
      <c r="BO1232" s="406"/>
      <c r="BP1232" s="406"/>
      <c r="BQ1232" s="406"/>
      <c r="BR1232" s="406"/>
      <c r="BS1232" s="406"/>
      <c r="BT1232" s="406"/>
      <c r="BU1232" s="406"/>
      <c r="BV1232" s="406"/>
      <c r="BW1232" s="406"/>
      <c r="BX1232" s="406"/>
      <c r="BY1232" s="406"/>
      <c r="BZ1232" s="406"/>
      <c r="CA1232" s="406"/>
      <c r="CB1232" s="406"/>
      <c r="CC1232" s="406"/>
      <c r="CD1232" s="406"/>
      <c r="CE1232" s="406"/>
      <c r="CF1232" s="406"/>
      <c r="CG1232" s="406"/>
      <c r="CH1232" s="406"/>
      <c r="CI1232" s="406"/>
      <c r="CJ1232" s="406"/>
      <c r="CK1232" s="406"/>
      <c r="CL1232" s="406"/>
      <c r="CM1232" s="406"/>
      <c r="CN1232" s="406"/>
      <c r="CO1232" s="406"/>
      <c r="CP1232" s="406"/>
      <c r="CQ1232" s="406"/>
      <c r="CR1232" s="406"/>
      <c r="CS1232" s="406"/>
      <c r="CT1232" s="406"/>
      <c r="CU1232" s="406"/>
      <c r="CV1232" s="406"/>
      <c r="CW1232" s="406"/>
      <c r="CX1232" s="406"/>
      <c r="CY1232" s="406"/>
      <c r="CZ1232" s="406"/>
      <c r="DA1232" s="406"/>
      <c r="DB1232" s="406"/>
      <c r="DC1232" s="406"/>
      <c r="DD1232" s="406"/>
      <c r="DE1232" s="406"/>
      <c r="DF1232" s="406"/>
      <c r="DG1232" s="406"/>
      <c r="DH1232" s="406"/>
      <c r="DI1232" s="406"/>
      <c r="DJ1232" s="406"/>
      <c r="DK1232" s="406"/>
      <c r="DL1232" s="406"/>
      <c r="DM1232" s="406"/>
      <c r="DN1232" s="406"/>
      <c r="DO1232" s="406"/>
      <c r="DP1232" s="406"/>
      <c r="DQ1232" s="406"/>
      <c r="DR1232" s="406"/>
      <c r="DS1232" s="406"/>
      <c r="DT1232" s="406"/>
      <c r="DU1232" s="406"/>
      <c r="DV1232" s="406"/>
      <c r="DW1232" s="406"/>
      <c r="DX1232" s="406"/>
      <c r="DY1232" s="406"/>
      <c r="DZ1232" s="406"/>
    </row>
    <row r="1233" spans="1:130" hidden="1" outlineLevel="2">
      <c r="A1233" s="494"/>
      <c r="B1233" s="523"/>
      <c r="C1233" s="419"/>
      <c r="D1233" s="420"/>
      <c r="E1233" s="380"/>
      <c r="F1233" s="547"/>
      <c r="G1233" s="380"/>
      <c r="H1233" s="381"/>
      <c r="I1233" s="380" t="s">
        <v>3439</v>
      </c>
      <c r="J1233" s="382"/>
      <c r="K1233" s="494"/>
      <c r="L1233" s="494"/>
      <c r="M1233" s="506" t="s">
        <v>813</v>
      </c>
      <c r="N1233" s="506">
        <v>1</v>
      </c>
    </row>
    <row r="1234" spans="1:130" s="407" customFormat="1" ht="99" customHeight="1" outlineLevel="1" collapsed="1">
      <c r="A1234" s="489" t="s">
        <v>3459</v>
      </c>
      <c r="B1234" s="490"/>
      <c r="C1234" s="398" t="s">
        <v>346</v>
      </c>
      <c r="D1234" s="399" t="s">
        <v>391</v>
      </c>
      <c r="E1234" s="490" t="s">
        <v>3437</v>
      </c>
      <c r="F1234" s="385" t="s">
        <v>3460</v>
      </c>
      <c r="G1234" s="385"/>
      <c r="H1234" s="401" t="s">
        <v>1815</v>
      </c>
      <c r="I1234" s="385" t="str">
        <f>CONCATENATE(I1235," ",H1235," ","-",N1235," ",M1235)</f>
        <v>ремонт ЗВУ  -2 шт</v>
      </c>
      <c r="J1234" s="489" t="s">
        <v>365</v>
      </c>
      <c r="K1234" s="450">
        <v>44317</v>
      </c>
      <c r="L1234" s="450">
        <v>44500</v>
      </c>
      <c r="M1234" s="490"/>
      <c r="N1234" s="490"/>
      <c r="O1234" s="406"/>
      <c r="P1234" s="406"/>
      <c r="Q1234" s="406"/>
      <c r="R1234" s="406"/>
      <c r="S1234" s="406"/>
      <c r="T1234" s="406"/>
      <c r="U1234" s="406"/>
      <c r="V1234" s="406"/>
      <c r="W1234" s="406"/>
      <c r="X1234" s="406"/>
      <c r="Y1234" s="406"/>
      <c r="Z1234" s="406"/>
      <c r="AA1234" s="406"/>
      <c r="AB1234" s="406"/>
      <c r="AC1234" s="406"/>
      <c r="AD1234" s="406"/>
      <c r="AE1234" s="406"/>
      <c r="AF1234" s="406"/>
      <c r="AG1234" s="406"/>
      <c r="AH1234" s="406"/>
      <c r="AI1234" s="406"/>
      <c r="AJ1234" s="406"/>
      <c r="AK1234" s="406"/>
      <c r="AL1234" s="406"/>
      <c r="AM1234" s="406"/>
      <c r="AN1234" s="406"/>
      <c r="AO1234" s="406"/>
      <c r="AP1234" s="406"/>
      <c r="AQ1234" s="406"/>
      <c r="AR1234" s="406"/>
      <c r="AS1234" s="406"/>
      <c r="AT1234" s="406"/>
      <c r="AU1234" s="406"/>
      <c r="AV1234" s="406"/>
      <c r="AW1234" s="406"/>
      <c r="AX1234" s="406"/>
      <c r="AY1234" s="406"/>
      <c r="AZ1234" s="406"/>
      <c r="BA1234" s="406"/>
      <c r="BB1234" s="406"/>
      <c r="BC1234" s="406"/>
      <c r="BD1234" s="406"/>
      <c r="BE1234" s="406"/>
      <c r="BF1234" s="406"/>
      <c r="BG1234" s="406"/>
      <c r="BH1234" s="406"/>
      <c r="BI1234" s="406"/>
      <c r="BJ1234" s="406"/>
      <c r="BK1234" s="406"/>
      <c r="BL1234" s="406"/>
      <c r="BM1234" s="406"/>
      <c r="BN1234" s="406"/>
      <c r="BO1234" s="406"/>
      <c r="BP1234" s="406"/>
      <c r="BQ1234" s="406"/>
      <c r="BR1234" s="406"/>
      <c r="BS1234" s="406"/>
      <c r="BT1234" s="406"/>
      <c r="BU1234" s="406"/>
      <c r="BV1234" s="406"/>
      <c r="BW1234" s="406"/>
      <c r="BX1234" s="406"/>
      <c r="BY1234" s="406"/>
      <c r="BZ1234" s="406"/>
      <c r="CA1234" s="406"/>
      <c r="CB1234" s="406"/>
      <c r="CC1234" s="406"/>
      <c r="CD1234" s="406"/>
      <c r="CE1234" s="406"/>
      <c r="CF1234" s="406"/>
      <c r="CG1234" s="406"/>
      <c r="CH1234" s="406"/>
      <c r="CI1234" s="406"/>
      <c r="CJ1234" s="406"/>
      <c r="CK1234" s="406"/>
      <c r="CL1234" s="406"/>
      <c r="CM1234" s="406"/>
      <c r="CN1234" s="406"/>
      <c r="CO1234" s="406"/>
      <c r="CP1234" s="406"/>
      <c r="CQ1234" s="406"/>
      <c r="CR1234" s="406"/>
      <c r="CS1234" s="406"/>
      <c r="CT1234" s="406"/>
      <c r="CU1234" s="406"/>
      <c r="CV1234" s="406"/>
      <c r="CW1234" s="406"/>
      <c r="CX1234" s="406"/>
      <c r="CY1234" s="406"/>
      <c r="CZ1234" s="406"/>
      <c r="DA1234" s="406"/>
      <c r="DB1234" s="406"/>
      <c r="DC1234" s="406"/>
      <c r="DD1234" s="406"/>
      <c r="DE1234" s="406"/>
      <c r="DF1234" s="406"/>
      <c r="DG1234" s="406"/>
      <c r="DH1234" s="406"/>
      <c r="DI1234" s="406"/>
      <c r="DJ1234" s="406"/>
      <c r="DK1234" s="406"/>
      <c r="DL1234" s="406"/>
      <c r="DM1234" s="406"/>
      <c r="DN1234" s="406"/>
      <c r="DO1234" s="406"/>
      <c r="DP1234" s="406"/>
      <c r="DQ1234" s="406"/>
      <c r="DR1234" s="406"/>
      <c r="DS1234" s="406"/>
      <c r="DT1234" s="406"/>
      <c r="DU1234" s="406"/>
      <c r="DV1234" s="406"/>
      <c r="DW1234" s="406"/>
      <c r="DX1234" s="406"/>
      <c r="DY1234" s="406"/>
      <c r="DZ1234" s="406"/>
    </row>
    <row r="1235" spans="1:130" hidden="1" outlineLevel="2">
      <c r="A1235" s="494"/>
      <c r="B1235" s="523"/>
      <c r="C1235" s="419"/>
      <c r="D1235" s="420"/>
      <c r="E1235" s="380"/>
      <c r="F1235" s="547"/>
      <c r="G1235" s="380"/>
      <c r="H1235" s="381"/>
      <c r="I1235" s="380" t="s">
        <v>3461</v>
      </c>
      <c r="J1235" s="382"/>
      <c r="K1235" s="494"/>
      <c r="L1235" s="494"/>
      <c r="M1235" s="506" t="s">
        <v>813</v>
      </c>
      <c r="N1235" s="506">
        <v>2</v>
      </c>
    </row>
    <row r="1236" spans="1:130" s="407" customFormat="1" ht="99" customHeight="1" outlineLevel="1" collapsed="1">
      <c r="A1236" s="489" t="s">
        <v>3462</v>
      </c>
      <c r="B1236" s="490"/>
      <c r="C1236" s="398" t="s">
        <v>346</v>
      </c>
      <c r="D1236" s="399" t="s">
        <v>391</v>
      </c>
      <c r="E1236" s="490" t="s">
        <v>3405</v>
      </c>
      <c r="F1236" s="385" t="s">
        <v>3460</v>
      </c>
      <c r="G1236" s="385"/>
      <c r="H1236" s="401" t="s">
        <v>707</v>
      </c>
      <c r="I1236" s="385" t="str">
        <f>CONCATENATE(I1237," ",H1237," ","-",N1237," ",M1237)</f>
        <v>ремонт ЗВУ  -2 шт</v>
      </c>
      <c r="J1236" s="489" t="s">
        <v>365</v>
      </c>
      <c r="K1236" s="450">
        <v>44317</v>
      </c>
      <c r="L1236" s="450">
        <v>44500</v>
      </c>
      <c r="M1236" s="490"/>
      <c r="N1236" s="490"/>
      <c r="O1236" s="406"/>
      <c r="P1236" s="406"/>
      <c r="Q1236" s="406"/>
      <c r="R1236" s="406"/>
      <c r="S1236" s="406"/>
      <c r="T1236" s="406"/>
      <c r="U1236" s="406"/>
      <c r="V1236" s="406"/>
      <c r="W1236" s="406"/>
      <c r="X1236" s="406"/>
      <c r="Y1236" s="406"/>
      <c r="Z1236" s="406"/>
      <c r="AA1236" s="406"/>
      <c r="AB1236" s="406"/>
      <c r="AC1236" s="406"/>
      <c r="AD1236" s="406"/>
      <c r="AE1236" s="406"/>
      <c r="AF1236" s="406"/>
      <c r="AG1236" s="406"/>
      <c r="AH1236" s="406"/>
      <c r="AI1236" s="406"/>
      <c r="AJ1236" s="406"/>
      <c r="AK1236" s="406"/>
      <c r="AL1236" s="406"/>
      <c r="AM1236" s="406"/>
      <c r="AN1236" s="406"/>
      <c r="AO1236" s="406"/>
      <c r="AP1236" s="406"/>
      <c r="AQ1236" s="406"/>
      <c r="AR1236" s="406"/>
      <c r="AS1236" s="406"/>
      <c r="AT1236" s="406"/>
      <c r="AU1236" s="406"/>
      <c r="AV1236" s="406"/>
      <c r="AW1236" s="406"/>
      <c r="AX1236" s="406"/>
      <c r="AY1236" s="406"/>
      <c r="AZ1236" s="406"/>
      <c r="BA1236" s="406"/>
      <c r="BB1236" s="406"/>
      <c r="BC1236" s="406"/>
      <c r="BD1236" s="406"/>
      <c r="BE1236" s="406"/>
      <c r="BF1236" s="406"/>
      <c r="BG1236" s="406"/>
      <c r="BH1236" s="406"/>
      <c r="BI1236" s="406"/>
      <c r="BJ1236" s="406"/>
      <c r="BK1236" s="406"/>
      <c r="BL1236" s="406"/>
      <c r="BM1236" s="406"/>
      <c r="BN1236" s="406"/>
      <c r="BO1236" s="406"/>
      <c r="BP1236" s="406"/>
      <c r="BQ1236" s="406"/>
      <c r="BR1236" s="406"/>
      <c r="BS1236" s="406"/>
      <c r="BT1236" s="406"/>
      <c r="BU1236" s="406"/>
      <c r="BV1236" s="406"/>
      <c r="BW1236" s="406"/>
      <c r="BX1236" s="406"/>
      <c r="BY1236" s="406"/>
      <c r="BZ1236" s="406"/>
      <c r="CA1236" s="406"/>
      <c r="CB1236" s="406"/>
      <c r="CC1236" s="406"/>
      <c r="CD1236" s="406"/>
      <c r="CE1236" s="406"/>
      <c r="CF1236" s="406"/>
      <c r="CG1236" s="406"/>
      <c r="CH1236" s="406"/>
      <c r="CI1236" s="406"/>
      <c r="CJ1236" s="406"/>
      <c r="CK1236" s="406"/>
      <c r="CL1236" s="406"/>
      <c r="CM1236" s="406"/>
      <c r="CN1236" s="406"/>
      <c r="CO1236" s="406"/>
      <c r="CP1236" s="406"/>
      <c r="CQ1236" s="406"/>
      <c r="CR1236" s="406"/>
      <c r="CS1236" s="406"/>
      <c r="CT1236" s="406"/>
      <c r="CU1236" s="406"/>
      <c r="CV1236" s="406"/>
      <c r="CW1236" s="406"/>
      <c r="CX1236" s="406"/>
      <c r="CY1236" s="406"/>
      <c r="CZ1236" s="406"/>
      <c r="DA1236" s="406"/>
      <c r="DB1236" s="406"/>
      <c r="DC1236" s="406"/>
      <c r="DD1236" s="406"/>
      <c r="DE1236" s="406"/>
      <c r="DF1236" s="406"/>
      <c r="DG1236" s="406"/>
      <c r="DH1236" s="406"/>
      <c r="DI1236" s="406"/>
      <c r="DJ1236" s="406"/>
      <c r="DK1236" s="406"/>
      <c r="DL1236" s="406"/>
      <c r="DM1236" s="406"/>
      <c r="DN1236" s="406"/>
      <c r="DO1236" s="406"/>
      <c r="DP1236" s="406"/>
      <c r="DQ1236" s="406"/>
      <c r="DR1236" s="406"/>
      <c r="DS1236" s="406"/>
      <c r="DT1236" s="406"/>
      <c r="DU1236" s="406"/>
      <c r="DV1236" s="406"/>
      <c r="DW1236" s="406"/>
      <c r="DX1236" s="406"/>
      <c r="DY1236" s="406"/>
      <c r="DZ1236" s="406"/>
    </row>
    <row r="1237" spans="1:130" hidden="1" outlineLevel="2">
      <c r="A1237" s="494"/>
      <c r="B1237" s="523"/>
      <c r="C1237" s="419"/>
      <c r="D1237" s="420"/>
      <c r="E1237" s="380"/>
      <c r="F1237" s="547"/>
      <c r="G1237" s="380"/>
      <c r="H1237" s="381"/>
      <c r="I1237" s="380" t="s">
        <v>3461</v>
      </c>
      <c r="J1237" s="382"/>
      <c r="K1237" s="494"/>
      <c r="L1237" s="494"/>
      <c r="M1237" s="506" t="s">
        <v>813</v>
      </c>
      <c r="N1237" s="506">
        <v>2</v>
      </c>
    </row>
    <row r="1238" spans="1:130" s="407" customFormat="1" ht="99" customHeight="1" outlineLevel="1" collapsed="1">
      <c r="A1238" s="489" t="s">
        <v>3463</v>
      </c>
      <c r="B1238" s="490"/>
      <c r="C1238" s="398" t="s">
        <v>346</v>
      </c>
      <c r="D1238" s="399" t="s">
        <v>391</v>
      </c>
      <c r="E1238" s="490" t="s">
        <v>3411</v>
      </c>
      <c r="F1238" s="385" t="s">
        <v>3460</v>
      </c>
      <c r="G1238" s="385"/>
      <c r="H1238" s="401" t="s">
        <v>750</v>
      </c>
      <c r="I1238" s="385" t="str">
        <f>CONCATENATE(I1239," ",H1239," ","-",N1239," ",M1239)</f>
        <v>ремонт ЗВУ  -1 шт</v>
      </c>
      <c r="J1238" s="489" t="s">
        <v>365</v>
      </c>
      <c r="K1238" s="450">
        <v>44317</v>
      </c>
      <c r="L1238" s="450">
        <v>44500</v>
      </c>
      <c r="M1238" s="490"/>
      <c r="N1238" s="490"/>
      <c r="O1238" s="406"/>
      <c r="P1238" s="406"/>
      <c r="Q1238" s="406"/>
      <c r="R1238" s="406"/>
      <c r="S1238" s="406"/>
      <c r="T1238" s="406"/>
      <c r="U1238" s="406"/>
      <c r="V1238" s="406"/>
      <c r="W1238" s="406"/>
      <c r="X1238" s="406"/>
      <c r="Y1238" s="406"/>
      <c r="Z1238" s="406"/>
      <c r="AA1238" s="406"/>
      <c r="AB1238" s="406"/>
      <c r="AC1238" s="406"/>
      <c r="AD1238" s="406"/>
      <c r="AE1238" s="406"/>
      <c r="AF1238" s="406"/>
      <c r="AG1238" s="406"/>
      <c r="AH1238" s="406"/>
      <c r="AI1238" s="406"/>
      <c r="AJ1238" s="406"/>
      <c r="AK1238" s="406"/>
      <c r="AL1238" s="406"/>
      <c r="AM1238" s="406"/>
      <c r="AN1238" s="406"/>
      <c r="AO1238" s="406"/>
      <c r="AP1238" s="406"/>
      <c r="AQ1238" s="406"/>
      <c r="AR1238" s="406"/>
      <c r="AS1238" s="406"/>
      <c r="AT1238" s="406"/>
      <c r="AU1238" s="406"/>
      <c r="AV1238" s="406"/>
      <c r="AW1238" s="406"/>
      <c r="AX1238" s="406"/>
      <c r="AY1238" s="406"/>
      <c r="AZ1238" s="406"/>
      <c r="BA1238" s="406"/>
      <c r="BB1238" s="406"/>
      <c r="BC1238" s="406"/>
      <c r="BD1238" s="406"/>
      <c r="BE1238" s="406"/>
      <c r="BF1238" s="406"/>
      <c r="BG1238" s="406"/>
      <c r="BH1238" s="406"/>
      <c r="BI1238" s="406"/>
      <c r="BJ1238" s="406"/>
      <c r="BK1238" s="406"/>
      <c r="BL1238" s="406"/>
      <c r="BM1238" s="406"/>
      <c r="BN1238" s="406"/>
      <c r="BO1238" s="406"/>
      <c r="BP1238" s="406"/>
      <c r="BQ1238" s="406"/>
      <c r="BR1238" s="406"/>
      <c r="BS1238" s="406"/>
      <c r="BT1238" s="406"/>
      <c r="BU1238" s="406"/>
      <c r="BV1238" s="406"/>
      <c r="BW1238" s="406"/>
      <c r="BX1238" s="406"/>
      <c r="BY1238" s="406"/>
      <c r="BZ1238" s="406"/>
      <c r="CA1238" s="406"/>
      <c r="CB1238" s="406"/>
      <c r="CC1238" s="406"/>
      <c r="CD1238" s="406"/>
      <c r="CE1238" s="406"/>
      <c r="CF1238" s="406"/>
      <c r="CG1238" s="406"/>
      <c r="CH1238" s="406"/>
      <c r="CI1238" s="406"/>
      <c r="CJ1238" s="406"/>
      <c r="CK1238" s="406"/>
      <c r="CL1238" s="406"/>
      <c r="CM1238" s="406"/>
      <c r="CN1238" s="406"/>
      <c r="CO1238" s="406"/>
      <c r="CP1238" s="406"/>
      <c r="CQ1238" s="406"/>
      <c r="CR1238" s="406"/>
      <c r="CS1238" s="406"/>
      <c r="CT1238" s="406"/>
      <c r="CU1238" s="406"/>
      <c r="CV1238" s="406"/>
      <c r="CW1238" s="406"/>
      <c r="CX1238" s="406"/>
      <c r="CY1238" s="406"/>
      <c r="CZ1238" s="406"/>
      <c r="DA1238" s="406"/>
      <c r="DB1238" s="406"/>
      <c r="DC1238" s="406"/>
      <c r="DD1238" s="406"/>
      <c r="DE1238" s="406"/>
      <c r="DF1238" s="406"/>
      <c r="DG1238" s="406"/>
      <c r="DH1238" s="406"/>
      <c r="DI1238" s="406"/>
      <c r="DJ1238" s="406"/>
      <c r="DK1238" s="406"/>
      <c r="DL1238" s="406"/>
      <c r="DM1238" s="406"/>
      <c r="DN1238" s="406"/>
      <c r="DO1238" s="406"/>
      <c r="DP1238" s="406"/>
      <c r="DQ1238" s="406"/>
      <c r="DR1238" s="406"/>
      <c r="DS1238" s="406"/>
      <c r="DT1238" s="406"/>
      <c r="DU1238" s="406"/>
      <c r="DV1238" s="406"/>
      <c r="DW1238" s="406"/>
      <c r="DX1238" s="406"/>
      <c r="DY1238" s="406"/>
      <c r="DZ1238" s="406"/>
    </row>
    <row r="1239" spans="1:130" hidden="1" outlineLevel="2">
      <c r="A1239" s="494"/>
      <c r="B1239" s="523"/>
      <c r="C1239" s="419"/>
      <c r="D1239" s="420"/>
      <c r="E1239" s="380"/>
      <c r="F1239" s="547"/>
      <c r="G1239" s="380"/>
      <c r="H1239" s="381"/>
      <c r="I1239" s="380" t="s">
        <v>3461</v>
      </c>
      <c r="J1239" s="382"/>
      <c r="K1239" s="494"/>
      <c r="L1239" s="494"/>
      <c r="M1239" s="506" t="s">
        <v>813</v>
      </c>
      <c r="N1239" s="506">
        <v>1</v>
      </c>
    </row>
    <row r="1240" spans="1:130" s="407" customFormat="1" ht="99" customHeight="1" outlineLevel="1" collapsed="1">
      <c r="A1240" s="489" t="s">
        <v>3464</v>
      </c>
      <c r="B1240" s="490"/>
      <c r="C1240" s="398" t="s">
        <v>346</v>
      </c>
      <c r="D1240" s="399" t="s">
        <v>391</v>
      </c>
      <c r="E1240" s="490" t="s">
        <v>3465</v>
      </c>
      <c r="F1240" s="385" t="s">
        <v>3460</v>
      </c>
      <c r="G1240" s="385"/>
      <c r="H1240" s="401" t="s">
        <v>683</v>
      </c>
      <c r="I1240" s="385" t="str">
        <f>CONCATENATE(I1241," ",H1241," ","-",N1241," ",M1241)</f>
        <v>ремонт ЗВУ  -2 шт</v>
      </c>
      <c r="J1240" s="489" t="s">
        <v>365</v>
      </c>
      <c r="K1240" s="450">
        <v>44317</v>
      </c>
      <c r="L1240" s="450">
        <v>44500</v>
      </c>
      <c r="M1240" s="490"/>
      <c r="N1240" s="490"/>
      <c r="O1240" s="406"/>
      <c r="P1240" s="406"/>
      <c r="Q1240" s="406"/>
      <c r="R1240" s="406"/>
      <c r="S1240" s="406"/>
      <c r="T1240" s="406"/>
      <c r="U1240" s="406"/>
      <c r="V1240" s="406"/>
      <c r="W1240" s="406"/>
      <c r="X1240" s="406"/>
      <c r="Y1240" s="406"/>
      <c r="Z1240" s="406"/>
      <c r="AA1240" s="406"/>
      <c r="AB1240" s="406"/>
      <c r="AC1240" s="406"/>
      <c r="AD1240" s="406"/>
      <c r="AE1240" s="406"/>
      <c r="AF1240" s="406"/>
      <c r="AG1240" s="406"/>
      <c r="AH1240" s="406"/>
      <c r="AI1240" s="406"/>
      <c r="AJ1240" s="406"/>
      <c r="AK1240" s="406"/>
      <c r="AL1240" s="406"/>
      <c r="AM1240" s="406"/>
      <c r="AN1240" s="406"/>
      <c r="AO1240" s="406"/>
      <c r="AP1240" s="406"/>
      <c r="AQ1240" s="406"/>
      <c r="AR1240" s="406"/>
      <c r="AS1240" s="406"/>
      <c r="AT1240" s="406"/>
      <c r="AU1240" s="406"/>
      <c r="AV1240" s="406"/>
      <c r="AW1240" s="406"/>
      <c r="AX1240" s="406"/>
      <c r="AY1240" s="406"/>
      <c r="AZ1240" s="406"/>
      <c r="BA1240" s="406"/>
      <c r="BB1240" s="406"/>
      <c r="BC1240" s="406"/>
      <c r="BD1240" s="406"/>
      <c r="BE1240" s="406"/>
      <c r="BF1240" s="406"/>
      <c r="BG1240" s="406"/>
      <c r="BH1240" s="406"/>
      <c r="BI1240" s="406"/>
      <c r="BJ1240" s="406"/>
      <c r="BK1240" s="406"/>
      <c r="BL1240" s="406"/>
      <c r="BM1240" s="406"/>
      <c r="BN1240" s="406"/>
      <c r="BO1240" s="406"/>
      <c r="BP1240" s="406"/>
      <c r="BQ1240" s="406"/>
      <c r="BR1240" s="406"/>
      <c r="BS1240" s="406"/>
      <c r="BT1240" s="406"/>
      <c r="BU1240" s="406"/>
      <c r="BV1240" s="406"/>
      <c r="BW1240" s="406"/>
      <c r="BX1240" s="406"/>
      <c r="BY1240" s="406"/>
      <c r="BZ1240" s="406"/>
      <c r="CA1240" s="406"/>
      <c r="CB1240" s="406"/>
      <c r="CC1240" s="406"/>
      <c r="CD1240" s="406"/>
      <c r="CE1240" s="406"/>
      <c r="CF1240" s="406"/>
      <c r="CG1240" s="406"/>
      <c r="CH1240" s="406"/>
      <c r="CI1240" s="406"/>
      <c r="CJ1240" s="406"/>
      <c r="CK1240" s="406"/>
      <c r="CL1240" s="406"/>
      <c r="CM1240" s="406"/>
      <c r="CN1240" s="406"/>
      <c r="CO1240" s="406"/>
      <c r="CP1240" s="406"/>
      <c r="CQ1240" s="406"/>
      <c r="CR1240" s="406"/>
      <c r="CS1240" s="406"/>
      <c r="CT1240" s="406"/>
      <c r="CU1240" s="406"/>
      <c r="CV1240" s="406"/>
      <c r="CW1240" s="406"/>
      <c r="CX1240" s="406"/>
      <c r="CY1240" s="406"/>
      <c r="CZ1240" s="406"/>
      <c r="DA1240" s="406"/>
      <c r="DB1240" s="406"/>
      <c r="DC1240" s="406"/>
      <c r="DD1240" s="406"/>
      <c r="DE1240" s="406"/>
      <c r="DF1240" s="406"/>
      <c r="DG1240" s="406"/>
      <c r="DH1240" s="406"/>
      <c r="DI1240" s="406"/>
      <c r="DJ1240" s="406"/>
      <c r="DK1240" s="406"/>
      <c r="DL1240" s="406"/>
      <c r="DM1240" s="406"/>
      <c r="DN1240" s="406"/>
      <c r="DO1240" s="406"/>
      <c r="DP1240" s="406"/>
      <c r="DQ1240" s="406"/>
      <c r="DR1240" s="406"/>
      <c r="DS1240" s="406"/>
      <c r="DT1240" s="406"/>
      <c r="DU1240" s="406"/>
      <c r="DV1240" s="406"/>
      <c r="DW1240" s="406"/>
      <c r="DX1240" s="406"/>
      <c r="DY1240" s="406"/>
      <c r="DZ1240" s="406"/>
    </row>
    <row r="1241" spans="1:130" hidden="1" outlineLevel="2">
      <c r="A1241" s="494"/>
      <c r="B1241" s="523"/>
      <c r="C1241" s="419"/>
      <c r="D1241" s="420"/>
      <c r="E1241" s="380"/>
      <c r="F1241" s="547"/>
      <c r="G1241" s="380"/>
      <c r="H1241" s="381"/>
      <c r="I1241" s="380" t="s">
        <v>3461</v>
      </c>
      <c r="J1241" s="382"/>
      <c r="K1241" s="494"/>
      <c r="L1241" s="494"/>
      <c r="M1241" s="506" t="s">
        <v>813</v>
      </c>
      <c r="N1241" s="506">
        <v>2</v>
      </c>
    </row>
    <row r="1242" spans="1:130" s="407" customFormat="1" ht="99" customHeight="1" outlineLevel="1" collapsed="1">
      <c r="A1242" s="489" t="s">
        <v>3466</v>
      </c>
      <c r="B1242" s="490"/>
      <c r="C1242" s="398" t="s">
        <v>346</v>
      </c>
      <c r="D1242" s="399" t="s">
        <v>391</v>
      </c>
      <c r="E1242" s="490" t="s">
        <v>3467</v>
      </c>
      <c r="F1242" s="385" t="s">
        <v>3460</v>
      </c>
      <c r="G1242" s="385"/>
      <c r="H1242" s="401" t="s">
        <v>690</v>
      </c>
      <c r="I1242" s="385" t="str">
        <f>CONCATENATE(I1243," ",H1243," ","-",N1243," ",M1243)</f>
        <v>ремонт ЗВУ  -2 шт</v>
      </c>
      <c r="J1242" s="489" t="s">
        <v>365</v>
      </c>
      <c r="K1242" s="450">
        <v>44317</v>
      </c>
      <c r="L1242" s="450">
        <v>44500</v>
      </c>
      <c r="M1242" s="490"/>
      <c r="N1242" s="490"/>
      <c r="O1242" s="406"/>
      <c r="P1242" s="406"/>
      <c r="Q1242" s="406"/>
      <c r="R1242" s="406"/>
      <c r="S1242" s="406"/>
      <c r="T1242" s="406"/>
      <c r="U1242" s="406"/>
      <c r="V1242" s="406"/>
      <c r="W1242" s="406"/>
      <c r="X1242" s="406"/>
      <c r="Y1242" s="406"/>
      <c r="Z1242" s="406"/>
      <c r="AA1242" s="406"/>
      <c r="AB1242" s="406"/>
      <c r="AC1242" s="406"/>
      <c r="AD1242" s="406"/>
      <c r="AE1242" s="406"/>
      <c r="AF1242" s="406"/>
      <c r="AG1242" s="406"/>
      <c r="AH1242" s="406"/>
      <c r="AI1242" s="406"/>
      <c r="AJ1242" s="406"/>
      <c r="AK1242" s="406"/>
      <c r="AL1242" s="406"/>
      <c r="AM1242" s="406"/>
      <c r="AN1242" s="406"/>
      <c r="AO1242" s="406"/>
      <c r="AP1242" s="406"/>
      <c r="AQ1242" s="406"/>
      <c r="AR1242" s="406"/>
      <c r="AS1242" s="406"/>
      <c r="AT1242" s="406"/>
      <c r="AU1242" s="406"/>
      <c r="AV1242" s="406"/>
      <c r="AW1242" s="406"/>
      <c r="AX1242" s="406"/>
      <c r="AY1242" s="406"/>
      <c r="AZ1242" s="406"/>
      <c r="BA1242" s="406"/>
      <c r="BB1242" s="406"/>
      <c r="BC1242" s="406"/>
      <c r="BD1242" s="406"/>
      <c r="BE1242" s="406"/>
      <c r="BF1242" s="406"/>
      <c r="BG1242" s="406"/>
      <c r="BH1242" s="406"/>
      <c r="BI1242" s="406"/>
      <c r="BJ1242" s="406"/>
      <c r="BK1242" s="406"/>
      <c r="BL1242" s="406"/>
      <c r="BM1242" s="406"/>
      <c r="BN1242" s="406"/>
      <c r="BO1242" s="406"/>
      <c r="BP1242" s="406"/>
      <c r="BQ1242" s="406"/>
      <c r="BR1242" s="406"/>
      <c r="BS1242" s="406"/>
      <c r="BT1242" s="406"/>
      <c r="BU1242" s="406"/>
      <c r="BV1242" s="406"/>
      <c r="BW1242" s="406"/>
      <c r="BX1242" s="406"/>
      <c r="BY1242" s="406"/>
      <c r="BZ1242" s="406"/>
      <c r="CA1242" s="406"/>
      <c r="CB1242" s="406"/>
      <c r="CC1242" s="406"/>
      <c r="CD1242" s="406"/>
      <c r="CE1242" s="406"/>
      <c r="CF1242" s="406"/>
      <c r="CG1242" s="406"/>
      <c r="CH1242" s="406"/>
      <c r="CI1242" s="406"/>
      <c r="CJ1242" s="406"/>
      <c r="CK1242" s="406"/>
      <c r="CL1242" s="406"/>
      <c r="CM1242" s="406"/>
      <c r="CN1242" s="406"/>
      <c r="CO1242" s="406"/>
      <c r="CP1242" s="406"/>
      <c r="CQ1242" s="406"/>
      <c r="CR1242" s="406"/>
      <c r="CS1242" s="406"/>
      <c r="CT1242" s="406"/>
      <c r="CU1242" s="406"/>
      <c r="CV1242" s="406"/>
      <c r="CW1242" s="406"/>
      <c r="CX1242" s="406"/>
      <c r="CY1242" s="406"/>
      <c r="CZ1242" s="406"/>
      <c r="DA1242" s="406"/>
      <c r="DB1242" s="406"/>
      <c r="DC1242" s="406"/>
      <c r="DD1242" s="406"/>
      <c r="DE1242" s="406"/>
      <c r="DF1242" s="406"/>
      <c r="DG1242" s="406"/>
      <c r="DH1242" s="406"/>
      <c r="DI1242" s="406"/>
      <c r="DJ1242" s="406"/>
      <c r="DK1242" s="406"/>
      <c r="DL1242" s="406"/>
      <c r="DM1242" s="406"/>
      <c r="DN1242" s="406"/>
      <c r="DO1242" s="406"/>
      <c r="DP1242" s="406"/>
      <c r="DQ1242" s="406"/>
      <c r="DR1242" s="406"/>
      <c r="DS1242" s="406"/>
      <c r="DT1242" s="406"/>
      <c r="DU1242" s="406"/>
      <c r="DV1242" s="406"/>
      <c r="DW1242" s="406"/>
      <c r="DX1242" s="406"/>
      <c r="DY1242" s="406"/>
      <c r="DZ1242" s="406"/>
    </row>
    <row r="1243" spans="1:130" hidden="1" outlineLevel="2">
      <c r="A1243" s="494"/>
      <c r="B1243" s="523"/>
      <c r="C1243" s="419"/>
      <c r="D1243" s="420"/>
      <c r="E1243" s="380"/>
      <c r="F1243" s="547"/>
      <c r="G1243" s="380"/>
      <c r="H1243" s="381"/>
      <c r="I1243" s="380" t="s">
        <v>3461</v>
      </c>
      <c r="J1243" s="382"/>
      <c r="K1243" s="494"/>
      <c r="L1243" s="494"/>
      <c r="M1243" s="506" t="s">
        <v>813</v>
      </c>
      <c r="N1243" s="506">
        <v>2</v>
      </c>
    </row>
    <row r="1244" spans="1:130" s="407" customFormat="1" ht="99" customHeight="1" outlineLevel="1" collapsed="1">
      <c r="A1244" s="489" t="s">
        <v>3468</v>
      </c>
      <c r="B1244" s="490"/>
      <c r="C1244" s="398" t="s">
        <v>346</v>
      </c>
      <c r="D1244" s="399" t="s">
        <v>391</v>
      </c>
      <c r="E1244" s="490" t="s">
        <v>3469</v>
      </c>
      <c r="F1244" s="385" t="s">
        <v>3460</v>
      </c>
      <c r="G1244" s="385"/>
      <c r="H1244" s="401" t="s">
        <v>567</v>
      </c>
      <c r="I1244" s="385" t="str">
        <f>CONCATENATE(I1245," ",H1245," ","-",N1245," ",M1245)</f>
        <v>ремонт ЗВУ  -1 шт</v>
      </c>
      <c r="J1244" s="489" t="s">
        <v>365</v>
      </c>
      <c r="K1244" s="450">
        <v>44317</v>
      </c>
      <c r="L1244" s="450">
        <v>44500</v>
      </c>
      <c r="M1244" s="490"/>
      <c r="N1244" s="490"/>
      <c r="O1244" s="406"/>
      <c r="P1244" s="406"/>
      <c r="Q1244" s="406"/>
      <c r="R1244" s="406"/>
      <c r="S1244" s="406"/>
      <c r="T1244" s="406"/>
      <c r="U1244" s="406"/>
      <c r="V1244" s="406"/>
      <c r="W1244" s="406"/>
      <c r="X1244" s="406"/>
      <c r="Y1244" s="406"/>
      <c r="Z1244" s="406"/>
      <c r="AA1244" s="406"/>
      <c r="AB1244" s="406"/>
      <c r="AC1244" s="406"/>
      <c r="AD1244" s="406"/>
      <c r="AE1244" s="406"/>
      <c r="AF1244" s="406"/>
      <c r="AG1244" s="406"/>
      <c r="AH1244" s="406"/>
      <c r="AI1244" s="406"/>
      <c r="AJ1244" s="406"/>
      <c r="AK1244" s="406"/>
      <c r="AL1244" s="406"/>
      <c r="AM1244" s="406"/>
      <c r="AN1244" s="406"/>
      <c r="AO1244" s="406"/>
      <c r="AP1244" s="406"/>
      <c r="AQ1244" s="406"/>
      <c r="AR1244" s="406"/>
      <c r="AS1244" s="406"/>
      <c r="AT1244" s="406"/>
      <c r="AU1244" s="406"/>
      <c r="AV1244" s="406"/>
      <c r="AW1244" s="406"/>
      <c r="AX1244" s="406"/>
      <c r="AY1244" s="406"/>
      <c r="AZ1244" s="406"/>
      <c r="BA1244" s="406"/>
      <c r="BB1244" s="406"/>
      <c r="BC1244" s="406"/>
      <c r="BD1244" s="406"/>
      <c r="BE1244" s="406"/>
      <c r="BF1244" s="406"/>
      <c r="BG1244" s="406"/>
      <c r="BH1244" s="406"/>
      <c r="BI1244" s="406"/>
      <c r="BJ1244" s="406"/>
      <c r="BK1244" s="406"/>
      <c r="BL1244" s="406"/>
      <c r="BM1244" s="406"/>
      <c r="BN1244" s="406"/>
      <c r="BO1244" s="406"/>
      <c r="BP1244" s="406"/>
      <c r="BQ1244" s="406"/>
      <c r="BR1244" s="406"/>
      <c r="BS1244" s="406"/>
      <c r="BT1244" s="406"/>
      <c r="BU1244" s="406"/>
      <c r="BV1244" s="406"/>
      <c r="BW1244" s="406"/>
      <c r="BX1244" s="406"/>
      <c r="BY1244" s="406"/>
      <c r="BZ1244" s="406"/>
      <c r="CA1244" s="406"/>
      <c r="CB1244" s="406"/>
      <c r="CC1244" s="406"/>
      <c r="CD1244" s="406"/>
      <c r="CE1244" s="406"/>
      <c r="CF1244" s="406"/>
      <c r="CG1244" s="406"/>
      <c r="CH1244" s="406"/>
      <c r="CI1244" s="406"/>
      <c r="CJ1244" s="406"/>
      <c r="CK1244" s="406"/>
      <c r="CL1244" s="406"/>
      <c r="CM1244" s="406"/>
      <c r="CN1244" s="406"/>
      <c r="CO1244" s="406"/>
      <c r="CP1244" s="406"/>
      <c r="CQ1244" s="406"/>
      <c r="CR1244" s="406"/>
      <c r="CS1244" s="406"/>
      <c r="CT1244" s="406"/>
      <c r="CU1244" s="406"/>
      <c r="CV1244" s="406"/>
      <c r="CW1244" s="406"/>
      <c r="CX1244" s="406"/>
      <c r="CY1244" s="406"/>
      <c r="CZ1244" s="406"/>
      <c r="DA1244" s="406"/>
      <c r="DB1244" s="406"/>
      <c r="DC1244" s="406"/>
      <c r="DD1244" s="406"/>
      <c r="DE1244" s="406"/>
      <c r="DF1244" s="406"/>
      <c r="DG1244" s="406"/>
      <c r="DH1244" s="406"/>
      <c r="DI1244" s="406"/>
      <c r="DJ1244" s="406"/>
      <c r="DK1244" s="406"/>
      <c r="DL1244" s="406"/>
      <c r="DM1244" s="406"/>
      <c r="DN1244" s="406"/>
      <c r="DO1244" s="406"/>
      <c r="DP1244" s="406"/>
      <c r="DQ1244" s="406"/>
      <c r="DR1244" s="406"/>
      <c r="DS1244" s="406"/>
      <c r="DT1244" s="406"/>
      <c r="DU1244" s="406"/>
      <c r="DV1244" s="406"/>
      <c r="DW1244" s="406"/>
      <c r="DX1244" s="406"/>
      <c r="DY1244" s="406"/>
      <c r="DZ1244" s="406"/>
    </row>
    <row r="1245" spans="1:130" hidden="1" outlineLevel="2">
      <c r="A1245" s="494"/>
      <c r="B1245" s="523"/>
      <c r="C1245" s="419"/>
      <c r="D1245" s="420"/>
      <c r="E1245" s="380"/>
      <c r="F1245" s="547"/>
      <c r="G1245" s="380"/>
      <c r="H1245" s="381"/>
      <c r="I1245" s="380" t="s">
        <v>3461</v>
      </c>
      <c r="J1245" s="382"/>
      <c r="K1245" s="494"/>
      <c r="L1245" s="494"/>
      <c r="M1245" s="506" t="s">
        <v>813</v>
      </c>
      <c r="N1245" s="506">
        <v>1</v>
      </c>
    </row>
    <row r="1246" spans="1:130" s="407" customFormat="1" ht="99" customHeight="1" outlineLevel="1" collapsed="1">
      <c r="A1246" s="489" t="s">
        <v>3470</v>
      </c>
      <c r="B1246" s="490"/>
      <c r="C1246" s="398" t="s">
        <v>346</v>
      </c>
      <c r="D1246" s="399" t="s">
        <v>391</v>
      </c>
      <c r="E1246" s="490" t="s">
        <v>3469</v>
      </c>
      <c r="F1246" s="385" t="s">
        <v>3471</v>
      </c>
      <c r="G1246" s="385"/>
      <c r="H1246" s="401" t="s">
        <v>567</v>
      </c>
      <c r="I1246" s="385" t="str">
        <f>CONCATENATE(I1247," ",H1247," ","-",N1247," ",M1247)</f>
        <v>ремонт УРЗА  -1 шт</v>
      </c>
      <c r="J1246" s="489" t="s">
        <v>365</v>
      </c>
      <c r="K1246" s="450">
        <v>44317</v>
      </c>
      <c r="L1246" s="450">
        <v>44500</v>
      </c>
      <c r="M1246" s="490"/>
      <c r="N1246" s="490"/>
      <c r="O1246" s="406"/>
      <c r="P1246" s="406"/>
      <c r="Q1246" s="406"/>
      <c r="R1246" s="406"/>
      <c r="S1246" s="406"/>
      <c r="T1246" s="406"/>
      <c r="U1246" s="406"/>
      <c r="V1246" s="406"/>
      <c r="W1246" s="406"/>
      <c r="X1246" s="406"/>
      <c r="Y1246" s="406"/>
      <c r="Z1246" s="406"/>
      <c r="AA1246" s="406"/>
      <c r="AB1246" s="406"/>
      <c r="AC1246" s="406"/>
      <c r="AD1246" s="406"/>
      <c r="AE1246" s="406"/>
      <c r="AF1246" s="406"/>
      <c r="AG1246" s="406"/>
      <c r="AH1246" s="406"/>
      <c r="AI1246" s="406"/>
      <c r="AJ1246" s="406"/>
      <c r="AK1246" s="406"/>
      <c r="AL1246" s="406"/>
      <c r="AM1246" s="406"/>
      <c r="AN1246" s="406"/>
      <c r="AO1246" s="406"/>
      <c r="AP1246" s="406"/>
      <c r="AQ1246" s="406"/>
      <c r="AR1246" s="406"/>
      <c r="AS1246" s="406"/>
      <c r="AT1246" s="406"/>
      <c r="AU1246" s="406"/>
      <c r="AV1246" s="406"/>
      <c r="AW1246" s="406"/>
      <c r="AX1246" s="406"/>
      <c r="AY1246" s="406"/>
      <c r="AZ1246" s="406"/>
      <c r="BA1246" s="406"/>
      <c r="BB1246" s="406"/>
      <c r="BC1246" s="406"/>
      <c r="BD1246" s="406"/>
      <c r="BE1246" s="406"/>
      <c r="BF1246" s="406"/>
      <c r="BG1246" s="406"/>
      <c r="BH1246" s="406"/>
      <c r="BI1246" s="406"/>
      <c r="BJ1246" s="406"/>
      <c r="BK1246" s="406"/>
      <c r="BL1246" s="406"/>
      <c r="BM1246" s="406"/>
      <c r="BN1246" s="406"/>
      <c r="BO1246" s="406"/>
      <c r="BP1246" s="406"/>
      <c r="BQ1246" s="406"/>
      <c r="BR1246" s="406"/>
      <c r="BS1246" s="406"/>
      <c r="BT1246" s="406"/>
      <c r="BU1246" s="406"/>
      <c r="BV1246" s="406"/>
      <c r="BW1246" s="406"/>
      <c r="BX1246" s="406"/>
      <c r="BY1246" s="406"/>
      <c r="BZ1246" s="406"/>
      <c r="CA1246" s="406"/>
      <c r="CB1246" s="406"/>
      <c r="CC1246" s="406"/>
      <c r="CD1246" s="406"/>
      <c r="CE1246" s="406"/>
      <c r="CF1246" s="406"/>
      <c r="CG1246" s="406"/>
      <c r="CH1246" s="406"/>
      <c r="CI1246" s="406"/>
      <c r="CJ1246" s="406"/>
      <c r="CK1246" s="406"/>
      <c r="CL1246" s="406"/>
      <c r="CM1246" s="406"/>
      <c r="CN1246" s="406"/>
      <c r="CO1246" s="406"/>
      <c r="CP1246" s="406"/>
      <c r="CQ1246" s="406"/>
      <c r="CR1246" s="406"/>
      <c r="CS1246" s="406"/>
      <c r="CT1246" s="406"/>
      <c r="CU1246" s="406"/>
      <c r="CV1246" s="406"/>
      <c r="CW1246" s="406"/>
      <c r="CX1246" s="406"/>
      <c r="CY1246" s="406"/>
      <c r="CZ1246" s="406"/>
      <c r="DA1246" s="406"/>
      <c r="DB1246" s="406"/>
      <c r="DC1246" s="406"/>
      <c r="DD1246" s="406"/>
      <c r="DE1246" s="406"/>
      <c r="DF1246" s="406"/>
      <c r="DG1246" s="406"/>
      <c r="DH1246" s="406"/>
      <c r="DI1246" s="406"/>
      <c r="DJ1246" s="406"/>
      <c r="DK1246" s="406"/>
      <c r="DL1246" s="406"/>
      <c r="DM1246" s="406"/>
      <c r="DN1246" s="406"/>
      <c r="DO1246" s="406"/>
      <c r="DP1246" s="406"/>
      <c r="DQ1246" s="406"/>
      <c r="DR1246" s="406"/>
      <c r="DS1246" s="406"/>
      <c r="DT1246" s="406"/>
      <c r="DU1246" s="406"/>
      <c r="DV1246" s="406"/>
      <c r="DW1246" s="406"/>
      <c r="DX1246" s="406"/>
      <c r="DY1246" s="406"/>
      <c r="DZ1246" s="406"/>
    </row>
    <row r="1247" spans="1:130" hidden="1" outlineLevel="2">
      <c r="A1247" s="494"/>
      <c r="B1247" s="523"/>
      <c r="C1247" s="419"/>
      <c r="D1247" s="420"/>
      <c r="E1247" s="380"/>
      <c r="F1247" s="547"/>
      <c r="G1247" s="380"/>
      <c r="H1247" s="381"/>
      <c r="I1247" s="380" t="s">
        <v>3472</v>
      </c>
      <c r="J1247" s="382"/>
      <c r="K1247" s="494"/>
      <c r="L1247" s="494"/>
      <c r="M1247" s="506" t="s">
        <v>813</v>
      </c>
      <c r="N1247" s="506">
        <v>1</v>
      </c>
    </row>
    <row r="1248" spans="1:130" s="407" customFormat="1" ht="99" customHeight="1" outlineLevel="1" collapsed="1">
      <c r="A1248" s="489" t="s">
        <v>3473</v>
      </c>
      <c r="B1248" s="490"/>
      <c r="C1248" s="398" t="s">
        <v>346</v>
      </c>
      <c r="D1248" s="399" t="s">
        <v>391</v>
      </c>
      <c r="E1248" s="490" t="s">
        <v>3474</v>
      </c>
      <c r="F1248" s="385" t="s">
        <v>3471</v>
      </c>
      <c r="G1248" s="385"/>
      <c r="H1248" s="401" t="s">
        <v>771</v>
      </c>
      <c r="I1248" s="385" t="str">
        <f>CONCATENATE(I1249," ",H1249," ","-",N1249," ",M1249)</f>
        <v>ремонт УРЗА  -1 шт</v>
      </c>
      <c r="J1248" s="489" t="s">
        <v>365</v>
      </c>
      <c r="K1248" s="450">
        <v>44317</v>
      </c>
      <c r="L1248" s="450">
        <v>44500</v>
      </c>
      <c r="M1248" s="490"/>
      <c r="N1248" s="490"/>
      <c r="O1248" s="406"/>
      <c r="P1248" s="406"/>
      <c r="Q1248" s="406"/>
      <c r="R1248" s="406"/>
      <c r="S1248" s="406"/>
      <c r="T1248" s="406"/>
      <c r="U1248" s="406"/>
      <c r="V1248" s="406"/>
      <c r="W1248" s="406"/>
      <c r="X1248" s="406"/>
      <c r="Y1248" s="406"/>
      <c r="Z1248" s="406"/>
      <c r="AA1248" s="406"/>
      <c r="AB1248" s="406"/>
      <c r="AC1248" s="406"/>
      <c r="AD1248" s="406"/>
      <c r="AE1248" s="406"/>
      <c r="AF1248" s="406"/>
      <c r="AG1248" s="406"/>
      <c r="AH1248" s="406"/>
      <c r="AI1248" s="406"/>
      <c r="AJ1248" s="406"/>
      <c r="AK1248" s="406"/>
      <c r="AL1248" s="406"/>
      <c r="AM1248" s="406"/>
      <c r="AN1248" s="406"/>
      <c r="AO1248" s="406"/>
      <c r="AP1248" s="406"/>
      <c r="AQ1248" s="406"/>
      <c r="AR1248" s="406"/>
      <c r="AS1248" s="406"/>
      <c r="AT1248" s="406"/>
      <c r="AU1248" s="406"/>
      <c r="AV1248" s="406"/>
      <c r="AW1248" s="406"/>
      <c r="AX1248" s="406"/>
      <c r="AY1248" s="406"/>
      <c r="AZ1248" s="406"/>
      <c r="BA1248" s="406"/>
      <c r="BB1248" s="406"/>
      <c r="BC1248" s="406"/>
      <c r="BD1248" s="406"/>
      <c r="BE1248" s="406"/>
      <c r="BF1248" s="406"/>
      <c r="BG1248" s="406"/>
      <c r="BH1248" s="406"/>
      <c r="BI1248" s="406"/>
      <c r="BJ1248" s="406"/>
      <c r="BK1248" s="406"/>
      <c r="BL1248" s="406"/>
      <c r="BM1248" s="406"/>
      <c r="BN1248" s="406"/>
      <c r="BO1248" s="406"/>
      <c r="BP1248" s="406"/>
      <c r="BQ1248" s="406"/>
      <c r="BR1248" s="406"/>
      <c r="BS1248" s="406"/>
      <c r="BT1248" s="406"/>
      <c r="BU1248" s="406"/>
      <c r="BV1248" s="406"/>
      <c r="BW1248" s="406"/>
      <c r="BX1248" s="406"/>
      <c r="BY1248" s="406"/>
      <c r="BZ1248" s="406"/>
      <c r="CA1248" s="406"/>
      <c r="CB1248" s="406"/>
      <c r="CC1248" s="406"/>
      <c r="CD1248" s="406"/>
      <c r="CE1248" s="406"/>
      <c r="CF1248" s="406"/>
      <c r="CG1248" s="406"/>
      <c r="CH1248" s="406"/>
      <c r="CI1248" s="406"/>
      <c r="CJ1248" s="406"/>
      <c r="CK1248" s="406"/>
      <c r="CL1248" s="406"/>
      <c r="CM1248" s="406"/>
      <c r="CN1248" s="406"/>
      <c r="CO1248" s="406"/>
      <c r="CP1248" s="406"/>
      <c r="CQ1248" s="406"/>
      <c r="CR1248" s="406"/>
      <c r="CS1248" s="406"/>
      <c r="CT1248" s="406"/>
      <c r="CU1248" s="406"/>
      <c r="CV1248" s="406"/>
      <c r="CW1248" s="406"/>
      <c r="CX1248" s="406"/>
      <c r="CY1248" s="406"/>
      <c r="CZ1248" s="406"/>
      <c r="DA1248" s="406"/>
      <c r="DB1248" s="406"/>
      <c r="DC1248" s="406"/>
      <c r="DD1248" s="406"/>
      <c r="DE1248" s="406"/>
      <c r="DF1248" s="406"/>
      <c r="DG1248" s="406"/>
      <c r="DH1248" s="406"/>
      <c r="DI1248" s="406"/>
      <c r="DJ1248" s="406"/>
      <c r="DK1248" s="406"/>
      <c r="DL1248" s="406"/>
      <c r="DM1248" s="406"/>
      <c r="DN1248" s="406"/>
      <c r="DO1248" s="406"/>
      <c r="DP1248" s="406"/>
      <c r="DQ1248" s="406"/>
      <c r="DR1248" s="406"/>
      <c r="DS1248" s="406"/>
      <c r="DT1248" s="406"/>
      <c r="DU1248" s="406"/>
      <c r="DV1248" s="406"/>
      <c r="DW1248" s="406"/>
      <c r="DX1248" s="406"/>
      <c r="DY1248" s="406"/>
      <c r="DZ1248" s="406"/>
    </row>
    <row r="1249" spans="1:130" hidden="1" outlineLevel="2">
      <c r="A1249" s="494"/>
      <c r="B1249" s="523"/>
      <c r="C1249" s="419"/>
      <c r="D1249" s="420"/>
      <c r="E1249" s="380"/>
      <c r="F1249" s="547"/>
      <c r="G1249" s="380"/>
      <c r="H1249" s="381"/>
      <c r="I1249" s="380" t="s">
        <v>3472</v>
      </c>
      <c r="J1249" s="382"/>
      <c r="K1249" s="494"/>
      <c r="L1249" s="494"/>
      <c r="M1249" s="506" t="s">
        <v>813</v>
      </c>
      <c r="N1249" s="506">
        <v>1</v>
      </c>
    </row>
    <row r="1250" spans="1:130" s="407" customFormat="1" ht="99" customHeight="1" outlineLevel="1" collapsed="1">
      <c r="A1250" s="489" t="s">
        <v>3475</v>
      </c>
      <c r="B1250" s="490"/>
      <c r="C1250" s="398" t="s">
        <v>346</v>
      </c>
      <c r="D1250" s="399" t="s">
        <v>391</v>
      </c>
      <c r="E1250" s="490" t="s">
        <v>3419</v>
      </c>
      <c r="F1250" s="385" t="s">
        <v>3471</v>
      </c>
      <c r="G1250" s="385"/>
      <c r="H1250" s="401" t="s">
        <v>784</v>
      </c>
      <c r="I1250" s="385" t="str">
        <f>CONCATENATE(I1251," ",H1251," ","-",N1251," ",M1251)</f>
        <v>ремонт УРЗА  -1 шт</v>
      </c>
      <c r="J1250" s="489" t="s">
        <v>365</v>
      </c>
      <c r="K1250" s="450">
        <v>44317</v>
      </c>
      <c r="L1250" s="450">
        <v>44500</v>
      </c>
      <c r="M1250" s="490"/>
      <c r="N1250" s="490"/>
      <c r="O1250" s="406"/>
      <c r="P1250" s="406"/>
      <c r="Q1250" s="406"/>
      <c r="R1250" s="406"/>
      <c r="S1250" s="406"/>
      <c r="T1250" s="406"/>
      <c r="U1250" s="406"/>
      <c r="V1250" s="406"/>
      <c r="W1250" s="406"/>
      <c r="X1250" s="406"/>
      <c r="Y1250" s="406"/>
      <c r="Z1250" s="406"/>
      <c r="AA1250" s="406"/>
      <c r="AB1250" s="406"/>
      <c r="AC1250" s="406"/>
      <c r="AD1250" s="406"/>
      <c r="AE1250" s="406"/>
      <c r="AF1250" s="406"/>
      <c r="AG1250" s="406"/>
      <c r="AH1250" s="406"/>
      <c r="AI1250" s="406"/>
      <c r="AJ1250" s="406"/>
      <c r="AK1250" s="406"/>
      <c r="AL1250" s="406"/>
      <c r="AM1250" s="406"/>
      <c r="AN1250" s="406"/>
      <c r="AO1250" s="406"/>
      <c r="AP1250" s="406"/>
      <c r="AQ1250" s="406"/>
      <c r="AR1250" s="406"/>
      <c r="AS1250" s="406"/>
      <c r="AT1250" s="406"/>
      <c r="AU1250" s="406"/>
      <c r="AV1250" s="406"/>
      <c r="AW1250" s="406"/>
      <c r="AX1250" s="406"/>
      <c r="AY1250" s="406"/>
      <c r="AZ1250" s="406"/>
      <c r="BA1250" s="406"/>
      <c r="BB1250" s="406"/>
      <c r="BC1250" s="406"/>
      <c r="BD1250" s="406"/>
      <c r="BE1250" s="406"/>
      <c r="BF1250" s="406"/>
      <c r="BG1250" s="406"/>
      <c r="BH1250" s="406"/>
      <c r="BI1250" s="406"/>
      <c r="BJ1250" s="406"/>
      <c r="BK1250" s="406"/>
      <c r="BL1250" s="406"/>
      <c r="BM1250" s="406"/>
      <c r="BN1250" s="406"/>
      <c r="BO1250" s="406"/>
      <c r="BP1250" s="406"/>
      <c r="BQ1250" s="406"/>
      <c r="BR1250" s="406"/>
      <c r="BS1250" s="406"/>
      <c r="BT1250" s="406"/>
      <c r="BU1250" s="406"/>
      <c r="BV1250" s="406"/>
      <c r="BW1250" s="406"/>
      <c r="BX1250" s="406"/>
      <c r="BY1250" s="406"/>
      <c r="BZ1250" s="406"/>
      <c r="CA1250" s="406"/>
      <c r="CB1250" s="406"/>
      <c r="CC1250" s="406"/>
      <c r="CD1250" s="406"/>
      <c r="CE1250" s="406"/>
      <c r="CF1250" s="406"/>
      <c r="CG1250" s="406"/>
      <c r="CH1250" s="406"/>
      <c r="CI1250" s="406"/>
      <c r="CJ1250" s="406"/>
      <c r="CK1250" s="406"/>
      <c r="CL1250" s="406"/>
      <c r="CM1250" s="406"/>
      <c r="CN1250" s="406"/>
      <c r="CO1250" s="406"/>
      <c r="CP1250" s="406"/>
      <c r="CQ1250" s="406"/>
      <c r="CR1250" s="406"/>
      <c r="CS1250" s="406"/>
      <c r="CT1250" s="406"/>
      <c r="CU1250" s="406"/>
      <c r="CV1250" s="406"/>
      <c r="CW1250" s="406"/>
      <c r="CX1250" s="406"/>
      <c r="CY1250" s="406"/>
      <c r="CZ1250" s="406"/>
      <c r="DA1250" s="406"/>
      <c r="DB1250" s="406"/>
      <c r="DC1250" s="406"/>
      <c r="DD1250" s="406"/>
      <c r="DE1250" s="406"/>
      <c r="DF1250" s="406"/>
      <c r="DG1250" s="406"/>
      <c r="DH1250" s="406"/>
      <c r="DI1250" s="406"/>
      <c r="DJ1250" s="406"/>
      <c r="DK1250" s="406"/>
      <c r="DL1250" s="406"/>
      <c r="DM1250" s="406"/>
      <c r="DN1250" s="406"/>
      <c r="DO1250" s="406"/>
      <c r="DP1250" s="406"/>
      <c r="DQ1250" s="406"/>
      <c r="DR1250" s="406"/>
      <c r="DS1250" s="406"/>
      <c r="DT1250" s="406"/>
      <c r="DU1250" s="406"/>
      <c r="DV1250" s="406"/>
      <c r="DW1250" s="406"/>
      <c r="DX1250" s="406"/>
      <c r="DY1250" s="406"/>
      <c r="DZ1250" s="406"/>
    </row>
    <row r="1251" spans="1:130" hidden="1" outlineLevel="2">
      <c r="A1251" s="494"/>
      <c r="B1251" s="523"/>
      <c r="C1251" s="419"/>
      <c r="D1251" s="420"/>
      <c r="E1251" s="380"/>
      <c r="F1251" s="547"/>
      <c r="G1251" s="380"/>
      <c r="H1251" s="381"/>
      <c r="I1251" s="380" t="s">
        <v>3472</v>
      </c>
      <c r="J1251" s="382"/>
      <c r="K1251" s="494"/>
      <c r="L1251" s="494"/>
      <c r="M1251" s="506" t="s">
        <v>813</v>
      </c>
      <c r="N1251" s="506">
        <v>1</v>
      </c>
    </row>
    <row r="1252" spans="1:130" s="407" customFormat="1" ht="99" customHeight="1" outlineLevel="1" collapsed="1">
      <c r="A1252" s="489" t="s">
        <v>3476</v>
      </c>
      <c r="B1252" s="490"/>
      <c r="C1252" s="398" t="s">
        <v>346</v>
      </c>
      <c r="D1252" s="399" t="s">
        <v>391</v>
      </c>
      <c r="E1252" s="490" t="s">
        <v>3477</v>
      </c>
      <c r="F1252" s="385" t="s">
        <v>3471</v>
      </c>
      <c r="G1252" s="385"/>
      <c r="H1252" s="401" t="s">
        <v>725</v>
      </c>
      <c r="I1252" s="385" t="str">
        <f>CONCATENATE(I1253," ",H1253," ","-",N1253," ",M1253)</f>
        <v>ремонт УРЗА  -1 шт</v>
      </c>
      <c r="J1252" s="489" t="s">
        <v>365</v>
      </c>
      <c r="K1252" s="450">
        <v>44317</v>
      </c>
      <c r="L1252" s="450">
        <v>44500</v>
      </c>
      <c r="M1252" s="490"/>
      <c r="N1252" s="490"/>
      <c r="O1252" s="406"/>
      <c r="P1252" s="406"/>
      <c r="Q1252" s="406"/>
      <c r="R1252" s="406"/>
      <c r="S1252" s="406"/>
      <c r="T1252" s="406"/>
      <c r="U1252" s="406"/>
      <c r="V1252" s="406"/>
      <c r="W1252" s="406"/>
      <c r="X1252" s="406"/>
      <c r="Y1252" s="406"/>
      <c r="Z1252" s="406"/>
      <c r="AA1252" s="406"/>
      <c r="AB1252" s="406"/>
      <c r="AC1252" s="406"/>
      <c r="AD1252" s="406"/>
      <c r="AE1252" s="406"/>
      <c r="AF1252" s="406"/>
      <c r="AG1252" s="406"/>
      <c r="AH1252" s="406"/>
      <c r="AI1252" s="406"/>
      <c r="AJ1252" s="406"/>
      <c r="AK1252" s="406"/>
      <c r="AL1252" s="406"/>
      <c r="AM1252" s="406"/>
      <c r="AN1252" s="406"/>
      <c r="AO1252" s="406"/>
      <c r="AP1252" s="406"/>
      <c r="AQ1252" s="406"/>
      <c r="AR1252" s="406"/>
      <c r="AS1252" s="406"/>
      <c r="AT1252" s="406"/>
      <c r="AU1252" s="406"/>
      <c r="AV1252" s="406"/>
      <c r="AW1252" s="406"/>
      <c r="AX1252" s="406"/>
      <c r="AY1252" s="406"/>
      <c r="AZ1252" s="406"/>
      <c r="BA1252" s="406"/>
      <c r="BB1252" s="406"/>
      <c r="BC1252" s="406"/>
      <c r="BD1252" s="406"/>
      <c r="BE1252" s="406"/>
      <c r="BF1252" s="406"/>
      <c r="BG1252" s="406"/>
      <c r="BH1252" s="406"/>
      <c r="BI1252" s="406"/>
      <c r="BJ1252" s="406"/>
      <c r="BK1252" s="406"/>
      <c r="BL1252" s="406"/>
      <c r="BM1252" s="406"/>
      <c r="BN1252" s="406"/>
      <c r="BO1252" s="406"/>
      <c r="BP1252" s="406"/>
      <c r="BQ1252" s="406"/>
      <c r="BR1252" s="406"/>
      <c r="BS1252" s="406"/>
      <c r="BT1252" s="406"/>
      <c r="BU1252" s="406"/>
      <c r="BV1252" s="406"/>
      <c r="BW1252" s="406"/>
      <c r="BX1252" s="406"/>
      <c r="BY1252" s="406"/>
      <c r="BZ1252" s="406"/>
      <c r="CA1252" s="406"/>
      <c r="CB1252" s="406"/>
      <c r="CC1252" s="406"/>
      <c r="CD1252" s="406"/>
      <c r="CE1252" s="406"/>
      <c r="CF1252" s="406"/>
      <c r="CG1252" s="406"/>
      <c r="CH1252" s="406"/>
      <c r="CI1252" s="406"/>
      <c r="CJ1252" s="406"/>
      <c r="CK1252" s="406"/>
      <c r="CL1252" s="406"/>
      <c r="CM1252" s="406"/>
      <c r="CN1252" s="406"/>
      <c r="CO1252" s="406"/>
      <c r="CP1252" s="406"/>
      <c r="CQ1252" s="406"/>
      <c r="CR1252" s="406"/>
      <c r="CS1252" s="406"/>
      <c r="CT1252" s="406"/>
      <c r="CU1252" s="406"/>
      <c r="CV1252" s="406"/>
      <c r="CW1252" s="406"/>
      <c r="CX1252" s="406"/>
      <c r="CY1252" s="406"/>
      <c r="CZ1252" s="406"/>
      <c r="DA1252" s="406"/>
      <c r="DB1252" s="406"/>
      <c r="DC1252" s="406"/>
      <c r="DD1252" s="406"/>
      <c r="DE1252" s="406"/>
      <c r="DF1252" s="406"/>
      <c r="DG1252" s="406"/>
      <c r="DH1252" s="406"/>
      <c r="DI1252" s="406"/>
      <c r="DJ1252" s="406"/>
      <c r="DK1252" s="406"/>
      <c r="DL1252" s="406"/>
      <c r="DM1252" s="406"/>
      <c r="DN1252" s="406"/>
      <c r="DO1252" s="406"/>
      <c r="DP1252" s="406"/>
      <c r="DQ1252" s="406"/>
      <c r="DR1252" s="406"/>
      <c r="DS1252" s="406"/>
      <c r="DT1252" s="406"/>
      <c r="DU1252" s="406"/>
      <c r="DV1252" s="406"/>
      <c r="DW1252" s="406"/>
      <c r="DX1252" s="406"/>
      <c r="DY1252" s="406"/>
      <c r="DZ1252" s="406"/>
    </row>
    <row r="1253" spans="1:130" hidden="1" outlineLevel="2">
      <c r="A1253" s="494"/>
      <c r="B1253" s="523"/>
      <c r="C1253" s="419"/>
      <c r="D1253" s="420"/>
      <c r="E1253" s="380"/>
      <c r="F1253" s="547"/>
      <c r="G1253" s="380"/>
      <c r="H1253" s="381"/>
      <c r="I1253" s="380" t="s">
        <v>3472</v>
      </c>
      <c r="J1253" s="382"/>
      <c r="K1253" s="494"/>
      <c r="L1253" s="494"/>
      <c r="M1253" s="506" t="s">
        <v>813</v>
      </c>
      <c r="N1253" s="506">
        <v>1</v>
      </c>
    </row>
    <row r="1254" spans="1:130" s="407" customFormat="1" ht="99" customHeight="1" outlineLevel="1" collapsed="1">
      <c r="A1254" s="489" t="s">
        <v>3478</v>
      </c>
      <c r="B1254" s="490"/>
      <c r="C1254" s="398" t="s">
        <v>346</v>
      </c>
      <c r="D1254" s="399" t="s">
        <v>391</v>
      </c>
      <c r="E1254" s="490" t="s">
        <v>3479</v>
      </c>
      <c r="F1254" s="385" t="s">
        <v>3471</v>
      </c>
      <c r="G1254" s="385"/>
      <c r="H1254" s="401" t="s">
        <v>3480</v>
      </c>
      <c r="I1254" s="385" t="str">
        <f>CONCATENATE(I1255," ",H1255," ","-",N1255," ",M1255)</f>
        <v>ремонт УРЗА  -1 шт</v>
      </c>
      <c r="J1254" s="489" t="s">
        <v>365</v>
      </c>
      <c r="K1254" s="450">
        <v>44317</v>
      </c>
      <c r="L1254" s="450">
        <v>44500</v>
      </c>
      <c r="M1254" s="490"/>
      <c r="N1254" s="490"/>
      <c r="O1254" s="406"/>
      <c r="P1254" s="406"/>
      <c r="Q1254" s="406"/>
      <c r="R1254" s="406"/>
      <c r="S1254" s="406"/>
      <c r="T1254" s="406"/>
      <c r="U1254" s="406"/>
      <c r="V1254" s="406"/>
      <c r="W1254" s="406"/>
      <c r="X1254" s="406"/>
      <c r="Y1254" s="406"/>
      <c r="Z1254" s="406"/>
      <c r="AA1254" s="406"/>
      <c r="AB1254" s="406"/>
      <c r="AC1254" s="406"/>
      <c r="AD1254" s="406"/>
      <c r="AE1254" s="406"/>
      <c r="AF1254" s="406"/>
      <c r="AG1254" s="406"/>
      <c r="AH1254" s="406"/>
      <c r="AI1254" s="406"/>
      <c r="AJ1254" s="406"/>
      <c r="AK1254" s="406"/>
      <c r="AL1254" s="406"/>
      <c r="AM1254" s="406"/>
      <c r="AN1254" s="406"/>
      <c r="AO1254" s="406"/>
      <c r="AP1254" s="406"/>
      <c r="AQ1254" s="406"/>
      <c r="AR1254" s="406"/>
      <c r="AS1254" s="406"/>
      <c r="AT1254" s="406"/>
      <c r="AU1254" s="406"/>
      <c r="AV1254" s="406"/>
      <c r="AW1254" s="406"/>
      <c r="AX1254" s="406"/>
      <c r="AY1254" s="406"/>
      <c r="AZ1254" s="406"/>
      <c r="BA1254" s="406"/>
      <c r="BB1254" s="406"/>
      <c r="BC1254" s="406"/>
      <c r="BD1254" s="406"/>
      <c r="BE1254" s="406"/>
      <c r="BF1254" s="406"/>
      <c r="BG1254" s="406"/>
      <c r="BH1254" s="406"/>
      <c r="BI1254" s="406"/>
      <c r="BJ1254" s="406"/>
      <c r="BK1254" s="406"/>
      <c r="BL1254" s="406"/>
      <c r="BM1254" s="406"/>
      <c r="BN1254" s="406"/>
      <c r="BO1254" s="406"/>
      <c r="BP1254" s="406"/>
      <c r="BQ1254" s="406"/>
      <c r="BR1254" s="406"/>
      <c r="BS1254" s="406"/>
      <c r="BT1254" s="406"/>
      <c r="BU1254" s="406"/>
      <c r="BV1254" s="406"/>
      <c r="BW1254" s="406"/>
      <c r="BX1254" s="406"/>
      <c r="BY1254" s="406"/>
      <c r="BZ1254" s="406"/>
      <c r="CA1254" s="406"/>
      <c r="CB1254" s="406"/>
      <c r="CC1254" s="406"/>
      <c r="CD1254" s="406"/>
      <c r="CE1254" s="406"/>
      <c r="CF1254" s="406"/>
      <c r="CG1254" s="406"/>
      <c r="CH1254" s="406"/>
      <c r="CI1254" s="406"/>
      <c r="CJ1254" s="406"/>
      <c r="CK1254" s="406"/>
      <c r="CL1254" s="406"/>
      <c r="CM1254" s="406"/>
      <c r="CN1254" s="406"/>
      <c r="CO1254" s="406"/>
      <c r="CP1254" s="406"/>
      <c r="CQ1254" s="406"/>
      <c r="CR1254" s="406"/>
      <c r="CS1254" s="406"/>
      <c r="CT1254" s="406"/>
      <c r="CU1254" s="406"/>
      <c r="CV1254" s="406"/>
      <c r="CW1254" s="406"/>
      <c r="CX1254" s="406"/>
      <c r="CY1254" s="406"/>
      <c r="CZ1254" s="406"/>
      <c r="DA1254" s="406"/>
      <c r="DB1254" s="406"/>
      <c r="DC1254" s="406"/>
      <c r="DD1254" s="406"/>
      <c r="DE1254" s="406"/>
      <c r="DF1254" s="406"/>
      <c r="DG1254" s="406"/>
      <c r="DH1254" s="406"/>
      <c r="DI1254" s="406"/>
      <c r="DJ1254" s="406"/>
      <c r="DK1254" s="406"/>
      <c r="DL1254" s="406"/>
      <c r="DM1254" s="406"/>
      <c r="DN1254" s="406"/>
      <c r="DO1254" s="406"/>
      <c r="DP1254" s="406"/>
      <c r="DQ1254" s="406"/>
      <c r="DR1254" s="406"/>
      <c r="DS1254" s="406"/>
      <c r="DT1254" s="406"/>
      <c r="DU1254" s="406"/>
      <c r="DV1254" s="406"/>
      <c r="DW1254" s="406"/>
      <c r="DX1254" s="406"/>
      <c r="DY1254" s="406"/>
      <c r="DZ1254" s="406"/>
    </row>
    <row r="1255" spans="1:130" hidden="1" outlineLevel="2">
      <c r="A1255" s="494"/>
      <c r="B1255" s="523"/>
      <c r="C1255" s="419"/>
      <c r="D1255" s="420"/>
      <c r="E1255" s="380"/>
      <c r="F1255" s="547"/>
      <c r="G1255" s="380"/>
      <c r="H1255" s="381"/>
      <c r="I1255" s="380" t="s">
        <v>3472</v>
      </c>
      <c r="J1255" s="382"/>
      <c r="K1255" s="494"/>
      <c r="L1255" s="494"/>
      <c r="M1255" s="506" t="s">
        <v>813</v>
      </c>
      <c r="N1255" s="506">
        <v>1</v>
      </c>
    </row>
    <row r="1256" spans="1:130" s="407" customFormat="1" ht="99" customHeight="1" outlineLevel="1" collapsed="1">
      <c r="A1256" s="489" t="s">
        <v>3481</v>
      </c>
      <c r="B1256" s="490"/>
      <c r="C1256" s="398" t="s">
        <v>346</v>
      </c>
      <c r="D1256" s="399" t="s">
        <v>391</v>
      </c>
      <c r="E1256" s="490" t="s">
        <v>3435</v>
      </c>
      <c r="F1256" s="385" t="s">
        <v>3471</v>
      </c>
      <c r="G1256" s="385"/>
      <c r="H1256" s="401" t="s">
        <v>710</v>
      </c>
      <c r="I1256" s="385" t="str">
        <f>CONCATENATE(I1257," ",H1257," ","-",N1257," ",M1257)</f>
        <v>ремонт УРЗА  -1 шт</v>
      </c>
      <c r="J1256" s="489" t="s">
        <v>365</v>
      </c>
      <c r="K1256" s="450">
        <v>44317</v>
      </c>
      <c r="L1256" s="450">
        <v>44500</v>
      </c>
      <c r="M1256" s="490"/>
      <c r="N1256" s="490"/>
      <c r="O1256" s="406"/>
      <c r="P1256" s="406"/>
      <c r="Q1256" s="406"/>
      <c r="R1256" s="406"/>
      <c r="S1256" s="406"/>
      <c r="T1256" s="406"/>
      <c r="U1256" s="406"/>
      <c r="V1256" s="406"/>
      <c r="W1256" s="406"/>
      <c r="X1256" s="406"/>
      <c r="Y1256" s="406"/>
      <c r="Z1256" s="406"/>
      <c r="AA1256" s="406"/>
      <c r="AB1256" s="406"/>
      <c r="AC1256" s="406"/>
      <c r="AD1256" s="406"/>
      <c r="AE1256" s="406"/>
      <c r="AF1256" s="406"/>
      <c r="AG1256" s="406"/>
      <c r="AH1256" s="406"/>
      <c r="AI1256" s="406"/>
      <c r="AJ1256" s="406"/>
      <c r="AK1256" s="406"/>
      <c r="AL1256" s="406"/>
      <c r="AM1256" s="406"/>
      <c r="AN1256" s="406"/>
      <c r="AO1256" s="406"/>
      <c r="AP1256" s="406"/>
      <c r="AQ1256" s="406"/>
      <c r="AR1256" s="406"/>
      <c r="AS1256" s="406"/>
      <c r="AT1256" s="406"/>
      <c r="AU1256" s="406"/>
      <c r="AV1256" s="406"/>
      <c r="AW1256" s="406"/>
      <c r="AX1256" s="406"/>
      <c r="AY1256" s="406"/>
      <c r="AZ1256" s="406"/>
      <c r="BA1256" s="406"/>
      <c r="BB1256" s="406"/>
      <c r="BC1256" s="406"/>
      <c r="BD1256" s="406"/>
      <c r="BE1256" s="406"/>
      <c r="BF1256" s="406"/>
      <c r="BG1256" s="406"/>
      <c r="BH1256" s="406"/>
      <c r="BI1256" s="406"/>
      <c r="BJ1256" s="406"/>
      <c r="BK1256" s="406"/>
      <c r="BL1256" s="406"/>
      <c r="BM1256" s="406"/>
      <c r="BN1256" s="406"/>
      <c r="BO1256" s="406"/>
      <c r="BP1256" s="406"/>
      <c r="BQ1256" s="406"/>
      <c r="BR1256" s="406"/>
      <c r="BS1256" s="406"/>
      <c r="BT1256" s="406"/>
      <c r="BU1256" s="406"/>
      <c r="BV1256" s="406"/>
      <c r="BW1256" s="406"/>
      <c r="BX1256" s="406"/>
      <c r="BY1256" s="406"/>
      <c r="BZ1256" s="406"/>
      <c r="CA1256" s="406"/>
      <c r="CB1256" s="406"/>
      <c r="CC1256" s="406"/>
      <c r="CD1256" s="406"/>
      <c r="CE1256" s="406"/>
      <c r="CF1256" s="406"/>
      <c r="CG1256" s="406"/>
      <c r="CH1256" s="406"/>
      <c r="CI1256" s="406"/>
      <c r="CJ1256" s="406"/>
      <c r="CK1256" s="406"/>
      <c r="CL1256" s="406"/>
      <c r="CM1256" s="406"/>
      <c r="CN1256" s="406"/>
      <c r="CO1256" s="406"/>
      <c r="CP1256" s="406"/>
      <c r="CQ1256" s="406"/>
      <c r="CR1256" s="406"/>
      <c r="CS1256" s="406"/>
      <c r="CT1256" s="406"/>
      <c r="CU1256" s="406"/>
      <c r="CV1256" s="406"/>
      <c r="CW1256" s="406"/>
      <c r="CX1256" s="406"/>
      <c r="CY1256" s="406"/>
      <c r="CZ1256" s="406"/>
      <c r="DA1256" s="406"/>
      <c r="DB1256" s="406"/>
      <c r="DC1256" s="406"/>
      <c r="DD1256" s="406"/>
      <c r="DE1256" s="406"/>
      <c r="DF1256" s="406"/>
      <c r="DG1256" s="406"/>
      <c r="DH1256" s="406"/>
      <c r="DI1256" s="406"/>
      <c r="DJ1256" s="406"/>
      <c r="DK1256" s="406"/>
      <c r="DL1256" s="406"/>
      <c r="DM1256" s="406"/>
      <c r="DN1256" s="406"/>
      <c r="DO1256" s="406"/>
      <c r="DP1256" s="406"/>
      <c r="DQ1256" s="406"/>
      <c r="DR1256" s="406"/>
      <c r="DS1256" s="406"/>
      <c r="DT1256" s="406"/>
      <c r="DU1256" s="406"/>
      <c r="DV1256" s="406"/>
      <c r="DW1256" s="406"/>
      <c r="DX1256" s="406"/>
      <c r="DY1256" s="406"/>
      <c r="DZ1256" s="406"/>
    </row>
    <row r="1257" spans="1:130" hidden="1" outlineLevel="2">
      <c r="A1257" s="494"/>
      <c r="B1257" s="523"/>
      <c r="C1257" s="419"/>
      <c r="D1257" s="420"/>
      <c r="E1257" s="380"/>
      <c r="F1257" s="547"/>
      <c r="G1257" s="380"/>
      <c r="H1257" s="381"/>
      <c r="I1257" s="380" t="s">
        <v>3472</v>
      </c>
      <c r="J1257" s="382"/>
      <c r="K1257" s="494"/>
      <c r="L1257" s="494"/>
      <c r="M1257" s="506" t="s">
        <v>813</v>
      </c>
      <c r="N1257" s="506">
        <v>1</v>
      </c>
    </row>
    <row r="1258" spans="1:130" hidden="1">
      <c r="A1258" s="494"/>
      <c r="B1258" s="523"/>
      <c r="C1258" s="419"/>
      <c r="D1258" s="420"/>
      <c r="E1258" s="380"/>
      <c r="F1258" s="547"/>
      <c r="G1258" s="380"/>
      <c r="H1258" s="381"/>
      <c r="I1258" s="380"/>
      <c r="J1258" s="382"/>
      <c r="K1258" s="494"/>
      <c r="L1258" s="494"/>
      <c r="M1258" s="506"/>
      <c r="N1258" s="506"/>
    </row>
    <row r="1259" spans="1:130" hidden="1" outlineLevel="1">
      <c r="A1259" s="494"/>
      <c r="B1259" s="523"/>
      <c r="C1259" s="419"/>
      <c r="D1259" s="420"/>
      <c r="E1259" s="380"/>
      <c r="F1259" s="547"/>
      <c r="G1259" s="380"/>
      <c r="H1259" s="381"/>
      <c r="I1259" s="380"/>
      <c r="J1259" s="382"/>
      <c r="K1259" s="494"/>
      <c r="L1259" s="494"/>
      <c r="M1259" s="506"/>
      <c r="N1259" s="506"/>
    </row>
    <row r="1260" spans="1:130" hidden="1" outlineLevel="1">
      <c r="A1260" s="494"/>
      <c r="B1260" s="523"/>
      <c r="C1260" s="419"/>
      <c r="D1260" s="420"/>
      <c r="E1260" s="380"/>
      <c r="F1260" s="547"/>
      <c r="G1260" s="380"/>
      <c r="H1260" s="381"/>
      <c r="I1260" s="380"/>
      <c r="J1260" s="382"/>
      <c r="K1260" s="494"/>
      <c r="L1260" s="494"/>
      <c r="M1260" s="506"/>
      <c r="N1260" s="506"/>
    </row>
    <row r="1261" spans="1:130" hidden="1" outlineLevel="1">
      <c r="A1261" s="494"/>
      <c r="B1261" s="523"/>
      <c r="C1261" s="419"/>
      <c r="D1261" s="420"/>
      <c r="E1261" s="380"/>
      <c r="F1261" s="547"/>
      <c r="G1261" s="380"/>
      <c r="H1261" s="381"/>
      <c r="I1261" s="380"/>
      <c r="J1261" s="382"/>
      <c r="K1261" s="494"/>
      <c r="L1261" s="494"/>
      <c r="M1261" s="506"/>
      <c r="N1261" s="506"/>
    </row>
    <row r="1262" spans="1:130" hidden="1" outlineLevel="1">
      <c r="A1262" s="494"/>
      <c r="B1262" s="523"/>
      <c r="C1262" s="419"/>
      <c r="D1262" s="420"/>
      <c r="E1262" s="380"/>
      <c r="F1262" s="547"/>
      <c r="G1262" s="380"/>
      <c r="H1262" s="381"/>
      <c r="I1262" s="380"/>
      <c r="J1262" s="382"/>
      <c r="K1262" s="494"/>
      <c r="L1262" s="494"/>
      <c r="M1262" s="506"/>
      <c r="N1262" s="506"/>
    </row>
    <row r="1263" spans="1:130" hidden="1" outlineLevel="1">
      <c r="A1263" s="494"/>
      <c r="B1263" s="523"/>
      <c r="C1263" s="419"/>
      <c r="D1263" s="420"/>
      <c r="E1263" s="380"/>
      <c r="F1263" s="547"/>
      <c r="G1263" s="380"/>
      <c r="H1263" s="381"/>
      <c r="I1263" s="380"/>
      <c r="J1263" s="382"/>
      <c r="K1263" s="494"/>
      <c r="L1263" s="494"/>
      <c r="M1263" s="506"/>
      <c r="N1263" s="506"/>
    </row>
    <row r="1264" spans="1:130" hidden="1" outlineLevel="1">
      <c r="A1264" s="418"/>
      <c r="B1264" s="523"/>
      <c r="C1264" s="419"/>
      <c r="D1264" s="420"/>
      <c r="E1264" s="380"/>
      <c r="F1264" s="547"/>
      <c r="G1264" s="380"/>
      <c r="H1264" s="381"/>
      <c r="I1264" s="380"/>
      <c r="J1264" s="382"/>
      <c r="K1264" s="494"/>
      <c r="L1264" s="494"/>
      <c r="M1264" s="506"/>
      <c r="N1264" s="506"/>
    </row>
    <row r="1265" spans="1:14" hidden="1" outlineLevel="1">
      <c r="A1265" s="418"/>
      <c r="B1265" s="523"/>
      <c r="C1265" s="419"/>
      <c r="D1265" s="420"/>
      <c r="E1265" s="380"/>
      <c r="F1265" s="547"/>
      <c r="G1265" s="380"/>
      <c r="H1265" s="381"/>
      <c r="I1265" s="380"/>
      <c r="J1265" s="382"/>
      <c r="K1265" s="494"/>
      <c r="L1265" s="494"/>
      <c r="M1265" s="506"/>
      <c r="N1265" s="506"/>
    </row>
    <row r="1266" spans="1:14" ht="26.25" hidden="1" outlineLevel="1">
      <c r="A1266" s="566" t="s">
        <v>3743</v>
      </c>
      <c r="B1266" s="566"/>
      <c r="C1266" s="566"/>
      <c r="D1266" s="566"/>
      <c r="E1266" s="566"/>
      <c r="F1266" s="566"/>
      <c r="G1266" s="566"/>
      <c r="H1266" s="566"/>
      <c r="I1266" s="566"/>
      <c r="J1266" s="566"/>
      <c r="K1266" s="566"/>
      <c r="L1266" s="566"/>
      <c r="M1266" s="566"/>
      <c r="N1266" s="566"/>
    </row>
    <row r="1267" spans="1:14" hidden="1" outlineLevel="1">
      <c r="A1267" s="548"/>
      <c r="B1267" s="377"/>
      <c r="C1267" s="421"/>
      <c r="D1267" s="523"/>
      <c r="E1267" s="523"/>
      <c r="F1267" s="380"/>
      <c r="G1267" s="524"/>
      <c r="H1267" s="381" t="s">
        <v>368</v>
      </c>
      <c r="I1267" s="509"/>
      <c r="J1267" s="422"/>
      <c r="K1267" s="495"/>
      <c r="L1267" s="495"/>
      <c r="M1267" s="377"/>
      <c r="N1267" s="377"/>
    </row>
    <row r="1268" spans="1:14" hidden="1" outlineLevel="1">
      <c r="A1268" s="548"/>
      <c r="B1268" s="377"/>
      <c r="C1268" s="421"/>
      <c r="D1268" s="523"/>
      <c r="E1268" s="523"/>
      <c r="F1268" s="380"/>
      <c r="G1268" s="524"/>
      <c r="H1268" s="381"/>
      <c r="I1268" s="509"/>
      <c r="J1268" s="422"/>
      <c r="K1268" s="495"/>
      <c r="L1268" s="495"/>
      <c r="M1268" s="377"/>
      <c r="N1268" s="377"/>
    </row>
    <row r="1269" spans="1:14" s="426" customFormat="1" hidden="1" outlineLevel="1">
      <c r="A1269" s="549" t="s">
        <v>326</v>
      </c>
      <c r="B1269" s="392"/>
      <c r="C1269" s="414"/>
      <c r="D1269" s="490"/>
      <c r="E1269" s="424"/>
      <c r="F1269" s="483"/>
      <c r="G1269" s="525"/>
      <c r="H1269" s="385" t="s">
        <v>348</v>
      </c>
      <c r="I1269" s="510" t="e">
        <f>#REF!</f>
        <v>#REF!</v>
      </c>
      <c r="J1269" s="425" t="s">
        <v>365</v>
      </c>
      <c r="K1269" s="496"/>
      <c r="L1269" s="496"/>
      <c r="M1269" s="423"/>
      <c r="N1269" s="423"/>
    </row>
    <row r="1270" spans="1:14" s="426" customFormat="1" hidden="1" outlineLevel="1">
      <c r="A1270" s="549" t="s">
        <v>325</v>
      </c>
      <c r="B1270" s="392"/>
      <c r="C1270" s="414"/>
      <c r="D1270" s="490"/>
      <c r="E1270" s="424"/>
      <c r="F1270" s="483"/>
      <c r="G1270" s="525"/>
      <c r="H1270" s="385" t="s">
        <v>349</v>
      </c>
      <c r="I1270" s="510" t="e">
        <f>#REF!</f>
        <v>#REF!</v>
      </c>
      <c r="J1270" s="425" t="s">
        <v>365</v>
      </c>
      <c r="K1270" s="496"/>
      <c r="L1270" s="496"/>
      <c r="M1270" s="423"/>
      <c r="N1270" s="423"/>
    </row>
    <row r="1271" spans="1:14" s="426" customFormat="1" hidden="1" outlineLevel="1">
      <c r="A1271" s="549" t="s">
        <v>327</v>
      </c>
      <c r="B1271" s="392"/>
      <c r="C1271" s="414"/>
      <c r="D1271" s="490"/>
      <c r="E1271" s="424"/>
      <c r="F1271" s="483"/>
      <c r="G1271" s="525"/>
      <c r="H1271" s="385" t="s">
        <v>350</v>
      </c>
      <c r="I1271" s="510" t="e">
        <f>#REF!</f>
        <v>#REF!</v>
      </c>
      <c r="J1271" s="425" t="s">
        <v>365</v>
      </c>
      <c r="K1271" s="496"/>
      <c r="L1271" s="496"/>
      <c r="M1271" s="423"/>
      <c r="N1271" s="423"/>
    </row>
    <row r="1272" spans="1:14" s="426" customFormat="1" hidden="1" outlineLevel="1">
      <c r="A1272" s="549" t="s">
        <v>328</v>
      </c>
      <c r="B1272" s="392"/>
      <c r="C1272" s="414"/>
      <c r="D1272" s="490"/>
      <c r="E1272" s="424"/>
      <c r="F1272" s="483"/>
      <c r="G1272" s="525"/>
      <c r="H1272" s="385" t="s">
        <v>351</v>
      </c>
      <c r="I1272" s="510" t="e">
        <f>#REF!</f>
        <v>#REF!</v>
      </c>
      <c r="J1272" s="425" t="s">
        <v>365</v>
      </c>
      <c r="K1272" s="496"/>
      <c r="L1272" s="496"/>
      <c r="M1272" s="423"/>
      <c r="N1272" s="423"/>
    </row>
    <row r="1273" spans="1:14" s="426" customFormat="1" hidden="1" outlineLevel="1">
      <c r="A1273" s="549" t="s">
        <v>329</v>
      </c>
      <c r="B1273" s="392"/>
      <c r="C1273" s="414"/>
      <c r="D1273" s="490"/>
      <c r="E1273" s="424"/>
      <c r="F1273" s="483"/>
      <c r="G1273" s="525"/>
      <c r="H1273" s="385" t="s">
        <v>353</v>
      </c>
      <c r="I1273" s="511">
        <v>0</v>
      </c>
      <c r="J1273" s="425" t="s">
        <v>365</v>
      </c>
      <c r="K1273" s="496"/>
      <c r="L1273" s="496"/>
      <c r="M1273" s="423"/>
      <c r="N1273" s="423"/>
    </row>
    <row r="1274" spans="1:14" s="426" customFormat="1" hidden="1" outlineLevel="1">
      <c r="A1274" s="549" t="s">
        <v>330</v>
      </c>
      <c r="B1274" s="392"/>
      <c r="C1274" s="414"/>
      <c r="D1274" s="490"/>
      <c r="E1274" s="424"/>
      <c r="F1274" s="483"/>
      <c r="G1274" s="525"/>
      <c r="H1274" s="385" t="s">
        <v>354</v>
      </c>
      <c r="I1274" s="511">
        <v>1</v>
      </c>
      <c r="J1274" s="425" t="s">
        <v>365</v>
      </c>
      <c r="K1274" s="496"/>
      <c r="L1274" s="496"/>
      <c r="M1274" s="423"/>
      <c r="N1274" s="423"/>
    </row>
    <row r="1275" spans="1:14" s="426" customFormat="1" hidden="1" outlineLevel="1">
      <c r="A1275" s="549" t="s">
        <v>331</v>
      </c>
      <c r="B1275" s="392"/>
      <c r="C1275" s="414"/>
      <c r="D1275" s="490"/>
      <c r="E1275" s="424"/>
      <c r="F1275" s="483"/>
      <c r="G1275" s="525"/>
      <c r="H1275" s="385" t="s">
        <v>352</v>
      </c>
      <c r="I1275" s="511">
        <v>0</v>
      </c>
      <c r="J1275" s="425" t="s">
        <v>365</v>
      </c>
      <c r="K1275" s="496"/>
      <c r="L1275" s="496"/>
      <c r="M1275" s="423"/>
      <c r="N1275" s="423"/>
    </row>
    <row r="1276" spans="1:14" s="426" customFormat="1" hidden="1" outlineLevel="1">
      <c r="A1276" s="549" t="s">
        <v>334</v>
      </c>
      <c r="B1276" s="392"/>
      <c r="C1276" s="414"/>
      <c r="D1276" s="490"/>
      <c r="E1276" s="424"/>
      <c r="F1276" s="483"/>
      <c r="G1276" s="525"/>
      <c r="H1276" s="385" t="s">
        <v>357</v>
      </c>
      <c r="I1276" s="511">
        <v>3</v>
      </c>
      <c r="J1276" s="425" t="s">
        <v>365</v>
      </c>
      <c r="K1276" s="496"/>
      <c r="L1276" s="496"/>
      <c r="M1276" s="423"/>
      <c r="N1276" s="423"/>
    </row>
    <row r="1277" spans="1:14" s="426" customFormat="1" hidden="1" outlineLevel="1">
      <c r="A1277" s="549" t="s">
        <v>337</v>
      </c>
      <c r="B1277" s="392"/>
      <c r="C1277" s="414"/>
      <c r="D1277" s="490"/>
      <c r="E1277" s="424"/>
      <c r="F1277" s="483"/>
      <c r="G1277" s="525"/>
      <c r="H1277" s="385" t="s">
        <v>358</v>
      </c>
      <c r="I1277" s="511">
        <f>N564+N566+N716+N749+N751+N754+N756+N759+N761+N764+N766+N768</f>
        <v>13</v>
      </c>
      <c r="J1277" s="425" t="s">
        <v>365</v>
      </c>
      <c r="K1277" s="496"/>
      <c r="L1277" s="496"/>
      <c r="M1277" s="423"/>
      <c r="N1277" s="423"/>
    </row>
    <row r="1278" spans="1:14" s="426" customFormat="1" hidden="1" outlineLevel="1">
      <c r="A1278" s="549" t="s">
        <v>339</v>
      </c>
      <c r="B1278" s="392"/>
      <c r="C1278" s="414"/>
      <c r="D1278" s="490"/>
      <c r="E1278" s="424"/>
      <c r="F1278" s="483"/>
      <c r="G1278" s="525"/>
      <c r="H1278" s="385" t="s">
        <v>359</v>
      </c>
      <c r="I1278" s="511">
        <f>N513+N515+N520+N525+N530+N535+N532+N702+N704+N710+N714</f>
        <v>62</v>
      </c>
      <c r="J1278" s="425" t="s">
        <v>365</v>
      </c>
      <c r="K1278" s="496"/>
      <c r="L1278" s="496"/>
      <c r="M1278" s="423"/>
      <c r="N1278" s="423"/>
    </row>
    <row r="1279" spans="1:14" s="426" customFormat="1" hidden="1" outlineLevel="1">
      <c r="A1279" s="549" t="s">
        <v>360</v>
      </c>
      <c r="B1279" s="392"/>
      <c r="C1279" s="414"/>
      <c r="D1279" s="490"/>
      <c r="E1279" s="424"/>
      <c r="F1279" s="483"/>
      <c r="G1279" s="525"/>
      <c r="H1279" s="385" t="s">
        <v>347</v>
      </c>
      <c r="I1279" s="511">
        <v>22</v>
      </c>
      <c r="J1279" s="425" t="s">
        <v>365</v>
      </c>
      <c r="K1279" s="496"/>
      <c r="L1279" s="496"/>
      <c r="M1279" s="423"/>
      <c r="N1279" s="423"/>
    </row>
    <row r="1280" spans="1:14" s="426" customFormat="1" hidden="1" outlineLevel="1">
      <c r="A1280" s="549" t="s">
        <v>361</v>
      </c>
      <c r="B1280" s="392"/>
      <c r="C1280" s="414"/>
      <c r="D1280" s="490"/>
      <c r="E1280" s="424"/>
      <c r="F1280" s="483"/>
      <c r="G1280" s="525"/>
      <c r="H1280" s="385" t="s">
        <v>355</v>
      </c>
      <c r="I1280" s="511">
        <v>0</v>
      </c>
      <c r="J1280" s="425" t="s">
        <v>365</v>
      </c>
      <c r="K1280" s="496"/>
      <c r="L1280" s="496"/>
      <c r="M1280" s="423"/>
      <c r="N1280" s="423"/>
    </row>
    <row r="1281" spans="1:14" s="426" customFormat="1" hidden="1" outlineLevel="1">
      <c r="A1281" s="549" t="s">
        <v>362</v>
      </c>
      <c r="B1281" s="392"/>
      <c r="C1281" s="414"/>
      <c r="D1281" s="490"/>
      <c r="E1281" s="424"/>
      <c r="F1281" s="483"/>
      <c r="G1281" s="525"/>
      <c r="H1281" s="385" t="s">
        <v>356</v>
      </c>
      <c r="I1281" s="511">
        <v>2</v>
      </c>
      <c r="J1281" s="425" t="s">
        <v>365</v>
      </c>
      <c r="K1281" s="496"/>
      <c r="L1281" s="496"/>
      <c r="M1281" s="423"/>
      <c r="N1281" s="423"/>
    </row>
    <row r="1282" spans="1:14" s="426" customFormat="1" ht="40.5" hidden="1" outlineLevel="1">
      <c r="A1282" s="549" t="s">
        <v>363</v>
      </c>
      <c r="B1282" s="392"/>
      <c r="C1282" s="414"/>
      <c r="D1282" s="490"/>
      <c r="E1282" s="424"/>
      <c r="F1282" s="483"/>
      <c r="G1282" s="525"/>
      <c r="H1282" s="401" t="s">
        <v>385</v>
      </c>
      <c r="I1282" s="512">
        <f>I1284+I1286+I1288+I1290</f>
        <v>1209.19</v>
      </c>
      <c r="J1282" s="425" t="s">
        <v>365</v>
      </c>
      <c r="K1282" s="496"/>
      <c r="L1282" s="496"/>
      <c r="M1282" s="423"/>
      <c r="N1282" s="423"/>
    </row>
    <row r="1283" spans="1:14" s="426" customFormat="1" hidden="1" outlineLevel="1">
      <c r="A1283" s="549" t="s">
        <v>364</v>
      </c>
      <c r="B1283" s="392"/>
      <c r="C1283" s="414"/>
      <c r="D1283" s="490"/>
      <c r="E1283" s="424"/>
      <c r="F1283" s="483"/>
      <c r="G1283" s="525"/>
      <c r="H1283" s="401" t="s">
        <v>386</v>
      </c>
      <c r="I1283" s="513">
        <f>I1285+I1287+I1289+I1291</f>
        <v>175.77000000000004</v>
      </c>
      <c r="J1283" s="425" t="s">
        <v>365</v>
      </c>
      <c r="K1283" s="496"/>
      <c r="L1283" s="496"/>
      <c r="M1283" s="423"/>
      <c r="N1283" s="423"/>
    </row>
    <row r="1284" spans="1:14" s="426" customFormat="1" ht="40.5" hidden="1" outlineLevel="1">
      <c r="A1284" s="549"/>
      <c r="B1284" s="392"/>
      <c r="C1284" s="414"/>
      <c r="D1284" s="490"/>
      <c r="E1284" s="424"/>
      <c r="F1284" s="483"/>
      <c r="G1284" s="525"/>
      <c r="H1284" s="401" t="s">
        <v>381</v>
      </c>
      <c r="I1284" s="512">
        <f>N31+N30+N33+N34+N35+N37+N76+N78+N86+N88+N89+N99+N100+N102+N103+N104+N106+N113+N114+N115+N117+N119+N120+N29</f>
        <v>373.36000000000007</v>
      </c>
      <c r="J1284" s="425" t="s">
        <v>365</v>
      </c>
      <c r="K1284" s="496"/>
      <c r="L1284" s="496"/>
      <c r="M1284" s="423"/>
      <c r="N1284" s="423"/>
    </row>
    <row r="1285" spans="1:14" s="426" customFormat="1" hidden="1" outlineLevel="1">
      <c r="A1285" s="549"/>
      <c r="B1285" s="392"/>
      <c r="C1285" s="414"/>
      <c r="D1285" s="490"/>
      <c r="E1285" s="424"/>
      <c r="F1285" s="483"/>
      <c r="G1285" s="525"/>
      <c r="H1285" s="401" t="s">
        <v>382</v>
      </c>
      <c r="I1285" s="514">
        <f>N34+N76+N89+N100+N104+N113+N119+N29</f>
        <v>152.40000000000003</v>
      </c>
      <c r="J1285" s="425" t="s">
        <v>365</v>
      </c>
      <c r="K1285" s="496"/>
      <c r="L1285" s="496"/>
      <c r="M1285" s="423"/>
      <c r="N1285" s="423"/>
    </row>
    <row r="1286" spans="1:14" s="426" customFormat="1" ht="40.5" hidden="1" outlineLevel="1">
      <c r="A1286" s="549"/>
      <c r="B1286" s="392"/>
      <c r="C1286" s="414"/>
      <c r="D1286" s="490"/>
      <c r="E1286" s="424"/>
      <c r="F1286" s="483"/>
      <c r="G1286" s="525"/>
      <c r="H1286" s="401" t="s">
        <v>383</v>
      </c>
      <c r="I1286" s="513">
        <f>N123+N124+N137+N138+N140+N143+N151+N152+N153+N155+N156+N157+N161+N162+N169+N170+N172+N173</f>
        <v>146.88999999999999</v>
      </c>
      <c r="J1286" s="425" t="s">
        <v>365</v>
      </c>
      <c r="K1286" s="496"/>
      <c r="L1286" s="496"/>
      <c r="M1286" s="423"/>
      <c r="N1286" s="423"/>
    </row>
    <row r="1287" spans="1:14" s="426" customFormat="1" hidden="1" outlineLevel="1">
      <c r="A1287" s="549"/>
      <c r="B1287" s="392"/>
      <c r="C1287" s="414"/>
      <c r="D1287" s="490"/>
      <c r="E1287" s="424"/>
      <c r="F1287" s="483"/>
      <c r="G1287" s="525"/>
      <c r="H1287" s="401" t="s">
        <v>384</v>
      </c>
      <c r="I1287" s="510">
        <f>N138+N153+N157+N161</f>
        <v>23.37</v>
      </c>
      <c r="J1287" s="425" t="s">
        <v>365</v>
      </c>
      <c r="K1287" s="496"/>
      <c r="L1287" s="496"/>
      <c r="M1287" s="423"/>
      <c r="N1287" s="423"/>
    </row>
    <row r="1288" spans="1:14" s="426" customFormat="1" ht="40.5" hidden="1" outlineLevel="1">
      <c r="A1288" s="549"/>
      <c r="B1288" s="392"/>
      <c r="C1288" s="414"/>
      <c r="D1288" s="490"/>
      <c r="E1288" s="424"/>
      <c r="F1288" s="483"/>
      <c r="G1288" s="525"/>
      <c r="H1288" s="401" t="s">
        <v>387</v>
      </c>
      <c r="I1288" s="511">
        <f>N193+N198+N202+N205+N208+N211+N213+N225+N234+N238+N240+N242+N247+N252+N254+N261+N263+N266+N268+N271+N275+N278+N305+N288+N357+N367+N368+N372+N373</f>
        <v>688.94</v>
      </c>
      <c r="J1288" s="425" t="s">
        <v>365</v>
      </c>
      <c r="K1288" s="496"/>
      <c r="L1288" s="496"/>
      <c r="M1288" s="423"/>
      <c r="N1288" s="423"/>
    </row>
    <row r="1289" spans="1:14" s="426" customFormat="1" hidden="1" outlineLevel="1">
      <c r="A1289" s="549"/>
      <c r="B1289" s="392"/>
      <c r="C1289" s="414"/>
      <c r="D1289" s="490"/>
      <c r="E1289" s="424"/>
      <c r="F1289" s="483"/>
      <c r="G1289" s="525"/>
      <c r="H1289" s="401" t="s">
        <v>388</v>
      </c>
      <c r="I1289" s="511">
        <v>0</v>
      </c>
      <c r="J1289" s="425" t="s">
        <v>365</v>
      </c>
      <c r="K1289" s="496"/>
      <c r="L1289" s="496"/>
      <c r="M1289" s="423"/>
      <c r="N1289" s="423"/>
    </row>
    <row r="1290" spans="1:14" s="426" customFormat="1" ht="40.5" hidden="1" outlineLevel="1">
      <c r="A1290" s="549"/>
      <c r="B1290" s="392"/>
      <c r="C1290" s="414"/>
      <c r="D1290" s="490"/>
      <c r="E1290" s="424"/>
      <c r="F1290" s="483"/>
      <c r="G1290" s="525"/>
      <c r="H1290" s="401" t="s">
        <v>389</v>
      </c>
      <c r="I1290" s="511">
        <v>0</v>
      </c>
      <c r="J1290" s="425" t="s">
        <v>365</v>
      </c>
      <c r="K1290" s="496"/>
      <c r="L1290" s="496"/>
      <c r="M1290" s="423"/>
      <c r="N1290" s="423"/>
    </row>
    <row r="1291" spans="1:14" s="426" customFormat="1" hidden="1" outlineLevel="1">
      <c r="A1291" s="549"/>
      <c r="B1291" s="392"/>
      <c r="C1291" s="414"/>
      <c r="D1291" s="490"/>
      <c r="E1291" s="424"/>
      <c r="F1291" s="483"/>
      <c r="G1291" s="525"/>
      <c r="H1291" s="401" t="s">
        <v>390</v>
      </c>
      <c r="I1291" s="511">
        <v>0</v>
      </c>
      <c r="J1291" s="425" t="s">
        <v>365</v>
      </c>
      <c r="K1291" s="496"/>
      <c r="L1291" s="496"/>
      <c r="M1291" s="423"/>
      <c r="N1291" s="423"/>
    </row>
    <row r="1292" spans="1:14" s="426" customFormat="1" hidden="1" outlineLevel="1">
      <c r="A1292" s="548"/>
      <c r="B1292" s="377"/>
      <c r="C1292" s="421"/>
      <c r="D1292" s="523"/>
      <c r="E1292" s="427"/>
      <c r="F1292" s="550"/>
      <c r="G1292" s="526"/>
      <c r="H1292" s="381"/>
      <c r="I1292" s="515"/>
      <c r="J1292" s="428"/>
      <c r="K1292" s="497"/>
      <c r="L1292" s="497"/>
    </row>
    <row r="1293" spans="1:14" s="426" customFormat="1" ht="81" hidden="1" customHeight="1" outlineLevel="1">
      <c r="A1293" s="548"/>
      <c r="B1293" s="377"/>
      <c r="C1293" s="421"/>
      <c r="D1293" s="523"/>
      <c r="E1293" s="427"/>
      <c r="F1293" s="550"/>
      <c r="G1293" s="526"/>
      <c r="H1293" s="488" t="s">
        <v>369</v>
      </c>
      <c r="I1293" s="515"/>
      <c r="J1293" s="428"/>
      <c r="K1293" s="497"/>
      <c r="L1293" s="497"/>
    </row>
    <row r="1294" spans="1:14" s="426" customFormat="1" hidden="1" outlineLevel="1">
      <c r="A1294" s="548"/>
      <c r="B1294" s="377"/>
      <c r="C1294" s="421"/>
      <c r="D1294" s="523"/>
      <c r="E1294" s="427"/>
      <c r="F1294" s="550"/>
      <c r="G1294" s="526"/>
      <c r="H1294" s="381"/>
      <c r="I1294" s="515"/>
      <c r="J1294" s="428"/>
      <c r="K1294" s="497"/>
      <c r="L1294" s="497"/>
    </row>
    <row r="1295" spans="1:14" s="426" customFormat="1" hidden="1" outlineLevel="1">
      <c r="A1295" s="549" t="s">
        <v>326</v>
      </c>
      <c r="B1295" s="392"/>
      <c r="C1295" s="414"/>
      <c r="D1295" s="490"/>
      <c r="E1295" s="424"/>
      <c r="F1295" s="483"/>
      <c r="G1295" s="525"/>
      <c r="H1295" s="385" t="s">
        <v>353</v>
      </c>
      <c r="I1295" s="511"/>
      <c r="J1295" s="425" t="s">
        <v>367</v>
      </c>
      <c r="K1295" s="496"/>
      <c r="L1295" s="496"/>
      <c r="M1295" s="423"/>
      <c r="N1295" s="423"/>
    </row>
    <row r="1296" spans="1:14" s="426" customFormat="1" hidden="1" outlineLevel="1">
      <c r="A1296" s="549" t="s">
        <v>325</v>
      </c>
      <c r="B1296" s="392"/>
      <c r="C1296" s="414"/>
      <c r="D1296" s="490"/>
      <c r="E1296" s="424"/>
      <c r="F1296" s="483"/>
      <c r="G1296" s="525"/>
      <c r="H1296" s="385" t="s">
        <v>354</v>
      </c>
      <c r="I1296" s="511"/>
      <c r="J1296" s="425" t="s">
        <v>367</v>
      </c>
      <c r="K1296" s="496"/>
      <c r="L1296" s="496"/>
      <c r="M1296" s="423"/>
      <c r="N1296" s="423"/>
    </row>
    <row r="1297" spans="1:14" s="426" customFormat="1" hidden="1" outlineLevel="1">
      <c r="A1297" s="549" t="s">
        <v>327</v>
      </c>
      <c r="B1297" s="392"/>
      <c r="C1297" s="414"/>
      <c r="D1297" s="490"/>
      <c r="E1297" s="424"/>
      <c r="F1297" s="483"/>
      <c r="G1297" s="525"/>
      <c r="H1297" s="385" t="s">
        <v>352</v>
      </c>
      <c r="I1297" s="511"/>
      <c r="J1297" s="425" t="s">
        <v>367</v>
      </c>
      <c r="K1297" s="496"/>
      <c r="L1297" s="496"/>
      <c r="M1297" s="423"/>
      <c r="N1297" s="423"/>
    </row>
    <row r="1298" spans="1:14" s="426" customFormat="1" hidden="1" outlineLevel="1">
      <c r="A1298" s="549" t="s">
        <v>328</v>
      </c>
      <c r="B1298" s="392"/>
      <c r="C1298" s="414"/>
      <c r="D1298" s="490"/>
      <c r="E1298" s="424"/>
      <c r="F1298" s="483"/>
      <c r="G1298" s="525"/>
      <c r="H1298" s="385" t="s">
        <v>357</v>
      </c>
      <c r="I1298" s="511"/>
      <c r="J1298" s="425" t="s">
        <v>367</v>
      </c>
      <c r="K1298" s="496"/>
      <c r="L1298" s="496"/>
      <c r="M1298" s="423"/>
      <c r="N1298" s="423"/>
    </row>
    <row r="1299" spans="1:14" s="426" customFormat="1" hidden="1" outlineLevel="1">
      <c r="A1299" s="549" t="s">
        <v>329</v>
      </c>
      <c r="B1299" s="392"/>
      <c r="C1299" s="414"/>
      <c r="D1299" s="490"/>
      <c r="E1299" s="424"/>
      <c r="F1299" s="483"/>
      <c r="G1299" s="525"/>
      <c r="H1299" s="385" t="s">
        <v>358</v>
      </c>
      <c r="I1299" s="511"/>
      <c r="J1299" s="425" t="s">
        <v>367</v>
      </c>
      <c r="K1299" s="496"/>
      <c r="L1299" s="496"/>
      <c r="M1299" s="423"/>
      <c r="N1299" s="423"/>
    </row>
    <row r="1300" spans="1:14" s="426" customFormat="1" hidden="1" outlineLevel="1">
      <c r="A1300" s="549" t="s">
        <v>330</v>
      </c>
      <c r="B1300" s="392"/>
      <c r="C1300" s="414"/>
      <c r="D1300" s="490"/>
      <c r="E1300" s="424"/>
      <c r="F1300" s="483"/>
      <c r="G1300" s="525"/>
      <c r="H1300" s="385" t="s">
        <v>359</v>
      </c>
      <c r="I1300" s="511"/>
      <c r="J1300" s="425" t="s">
        <v>367</v>
      </c>
      <c r="K1300" s="496"/>
      <c r="L1300" s="496"/>
      <c r="M1300" s="423"/>
      <c r="N1300" s="423"/>
    </row>
    <row r="1301" spans="1:14" s="426" customFormat="1" hidden="1" outlineLevel="1">
      <c r="A1301" s="549" t="s">
        <v>331</v>
      </c>
      <c r="B1301" s="392"/>
      <c r="C1301" s="414"/>
      <c r="D1301" s="490"/>
      <c r="E1301" s="424"/>
      <c r="F1301" s="483"/>
      <c r="G1301" s="525"/>
      <c r="H1301" s="385" t="s">
        <v>347</v>
      </c>
      <c r="I1301" s="511"/>
      <c r="J1301" s="425" t="s">
        <v>367</v>
      </c>
      <c r="K1301" s="496"/>
      <c r="L1301" s="496"/>
      <c r="M1301" s="423"/>
      <c r="N1301" s="423"/>
    </row>
    <row r="1302" spans="1:14" s="426" customFormat="1" hidden="1" outlineLevel="1">
      <c r="A1302" s="549" t="s">
        <v>334</v>
      </c>
      <c r="B1302" s="392"/>
      <c r="C1302" s="414"/>
      <c r="D1302" s="490"/>
      <c r="E1302" s="424"/>
      <c r="F1302" s="483"/>
      <c r="G1302" s="525"/>
      <c r="H1302" s="385" t="s">
        <v>355</v>
      </c>
      <c r="I1302" s="511"/>
      <c r="J1302" s="425" t="s">
        <v>367</v>
      </c>
      <c r="K1302" s="496"/>
      <c r="L1302" s="496"/>
      <c r="M1302" s="423"/>
      <c r="N1302" s="423"/>
    </row>
    <row r="1303" spans="1:14" s="426" customFormat="1" hidden="1" outlineLevel="1">
      <c r="A1303" s="549" t="s">
        <v>337</v>
      </c>
      <c r="B1303" s="392"/>
      <c r="C1303" s="414"/>
      <c r="D1303" s="490"/>
      <c r="E1303" s="424"/>
      <c r="F1303" s="483"/>
      <c r="G1303" s="525"/>
      <c r="H1303" s="385" t="s">
        <v>356</v>
      </c>
      <c r="I1303" s="511"/>
      <c r="J1303" s="425" t="s">
        <v>367</v>
      </c>
      <c r="K1303" s="496"/>
      <c r="L1303" s="496"/>
      <c r="M1303" s="423"/>
      <c r="N1303" s="423"/>
    </row>
    <row r="1304" spans="1:14" s="426" customFormat="1" hidden="1" outlineLevel="1">
      <c r="A1304" s="548"/>
      <c r="B1304" s="377"/>
      <c r="C1304" s="421"/>
      <c r="D1304" s="523"/>
      <c r="E1304" s="427"/>
      <c r="F1304" s="550"/>
      <c r="G1304" s="526"/>
      <c r="H1304" s="380"/>
      <c r="I1304" s="515"/>
      <c r="J1304" s="428"/>
      <c r="K1304" s="497"/>
      <c r="L1304" s="497"/>
    </row>
    <row r="1305" spans="1:14" s="426" customFormat="1" ht="26.25" hidden="1" outlineLevel="1">
      <c r="A1305" s="548"/>
      <c r="B1305" s="377"/>
      <c r="C1305" s="421"/>
      <c r="D1305" s="523"/>
      <c r="E1305" s="427"/>
      <c r="F1305" s="550"/>
      <c r="G1305" s="526"/>
      <c r="H1305" s="488" t="s">
        <v>370</v>
      </c>
      <c r="I1305" s="515"/>
      <c r="J1305" s="428"/>
      <c r="K1305" s="497"/>
      <c r="L1305" s="497"/>
    </row>
    <row r="1306" spans="1:14" s="426" customFormat="1" ht="13.5" hidden="1" customHeight="1" outlineLevel="1">
      <c r="A1306" s="548"/>
      <c r="B1306" s="377"/>
      <c r="C1306" s="421"/>
      <c r="D1306" s="523"/>
      <c r="E1306" s="427"/>
      <c r="F1306" s="550"/>
      <c r="G1306" s="526"/>
      <c r="H1306" s="381"/>
      <c r="I1306" s="515"/>
      <c r="J1306" s="428"/>
      <c r="K1306" s="497"/>
      <c r="L1306" s="497"/>
    </row>
    <row r="1307" spans="1:14" s="426" customFormat="1" hidden="1" outlineLevel="1">
      <c r="A1307" s="549" t="s">
        <v>326</v>
      </c>
      <c r="B1307" s="392"/>
      <c r="C1307" s="414"/>
      <c r="D1307" s="490"/>
      <c r="E1307" s="424"/>
      <c r="F1307" s="483"/>
      <c r="G1307" s="525"/>
      <c r="H1307" s="385" t="s">
        <v>353</v>
      </c>
      <c r="I1307" s="511">
        <v>25</v>
      </c>
      <c r="J1307" s="425" t="s">
        <v>366</v>
      </c>
      <c r="K1307" s="496"/>
      <c r="L1307" s="496"/>
      <c r="M1307" s="423"/>
      <c r="N1307" s="423"/>
    </row>
    <row r="1308" spans="1:14" s="426" customFormat="1" hidden="1" outlineLevel="1">
      <c r="A1308" s="549" t="s">
        <v>325</v>
      </c>
      <c r="B1308" s="392"/>
      <c r="C1308" s="414"/>
      <c r="D1308" s="490"/>
      <c r="E1308" s="424"/>
      <c r="F1308" s="483"/>
      <c r="G1308" s="525"/>
      <c r="H1308" s="385" t="s">
        <v>354</v>
      </c>
      <c r="I1308" s="511">
        <v>29</v>
      </c>
      <c r="J1308" s="425" t="s">
        <v>366</v>
      </c>
      <c r="K1308" s="496"/>
      <c r="L1308" s="496"/>
      <c r="M1308" s="423"/>
      <c r="N1308" s="423"/>
    </row>
    <row r="1309" spans="1:14" s="426" customFormat="1" hidden="1" outlineLevel="1">
      <c r="A1309" s="549" t="s">
        <v>327</v>
      </c>
      <c r="B1309" s="392"/>
      <c r="C1309" s="414"/>
      <c r="D1309" s="490"/>
      <c r="E1309" s="424"/>
      <c r="F1309" s="483"/>
      <c r="G1309" s="525"/>
      <c r="H1309" s="385" t="s">
        <v>352</v>
      </c>
      <c r="I1309" s="511">
        <v>21</v>
      </c>
      <c r="J1309" s="425" t="s">
        <v>366</v>
      </c>
      <c r="K1309" s="496"/>
      <c r="L1309" s="496"/>
      <c r="M1309" s="423"/>
      <c r="N1309" s="423"/>
    </row>
    <row r="1310" spans="1:14" s="426" customFormat="1" hidden="1" outlineLevel="1">
      <c r="A1310" s="549" t="s">
        <v>328</v>
      </c>
      <c r="B1310" s="392"/>
      <c r="C1310" s="414"/>
      <c r="D1310" s="490"/>
      <c r="E1310" s="424"/>
      <c r="F1310" s="483"/>
      <c r="G1310" s="525"/>
      <c r="H1310" s="385" t="s">
        <v>357</v>
      </c>
      <c r="I1310" s="511">
        <f>N619+N624+N675</f>
        <v>6</v>
      </c>
      <c r="J1310" s="425" t="s">
        <v>366</v>
      </c>
      <c r="K1310" s="496"/>
      <c r="L1310" s="496"/>
      <c r="M1310" s="423"/>
      <c r="N1310" s="423"/>
    </row>
    <row r="1311" spans="1:14" s="426" customFormat="1" hidden="1" outlineLevel="1">
      <c r="A1311" s="549" t="s">
        <v>329</v>
      </c>
      <c r="B1311" s="392"/>
      <c r="C1311" s="414"/>
      <c r="D1311" s="490"/>
      <c r="E1311" s="424"/>
      <c r="F1311" s="483"/>
      <c r="G1311" s="525"/>
      <c r="H1311" s="385" t="s">
        <v>358</v>
      </c>
      <c r="I1311" s="511">
        <f>N625+N637+N652+N685+N783+N792+N798+N841+N848</f>
        <v>28</v>
      </c>
      <c r="J1311" s="425" t="s">
        <v>366</v>
      </c>
      <c r="K1311" s="496"/>
      <c r="L1311" s="496"/>
      <c r="M1311" s="423"/>
      <c r="N1311" s="423"/>
    </row>
    <row r="1312" spans="1:14" s="426" customFormat="1" hidden="1" outlineLevel="1">
      <c r="A1312" s="549" t="s">
        <v>330</v>
      </c>
      <c r="B1312" s="392"/>
      <c r="C1312" s="414"/>
      <c r="D1312" s="490"/>
      <c r="E1312" s="424"/>
      <c r="F1312" s="483"/>
      <c r="G1312" s="525"/>
      <c r="H1312" s="385" t="s">
        <v>359</v>
      </c>
      <c r="I1312" s="511">
        <f>N573+N586+N616+N626+N633+N636+N658+N674+N787+N795</f>
        <v>19</v>
      </c>
      <c r="J1312" s="425" t="s">
        <v>366</v>
      </c>
      <c r="K1312" s="496"/>
      <c r="L1312" s="496"/>
      <c r="M1312" s="423"/>
      <c r="N1312" s="423"/>
    </row>
    <row r="1313" spans="1:97" s="426" customFormat="1" hidden="1" outlineLevel="1">
      <c r="A1313" s="549" t="s">
        <v>331</v>
      </c>
      <c r="B1313" s="392"/>
      <c r="C1313" s="414"/>
      <c r="D1313" s="490"/>
      <c r="E1313" s="424"/>
      <c r="F1313" s="483"/>
      <c r="G1313" s="525"/>
      <c r="H1313" s="385" t="s">
        <v>347</v>
      </c>
      <c r="I1313" s="511">
        <v>5</v>
      </c>
      <c r="J1313" s="425" t="s">
        <v>366</v>
      </c>
      <c r="K1313" s="496"/>
      <c r="L1313" s="496"/>
      <c r="M1313" s="423"/>
      <c r="N1313" s="423"/>
    </row>
    <row r="1314" spans="1:97" s="426" customFormat="1" hidden="1" outlineLevel="1">
      <c r="A1314" s="549" t="s">
        <v>334</v>
      </c>
      <c r="B1314" s="392"/>
      <c r="C1314" s="414"/>
      <c r="D1314" s="490"/>
      <c r="E1314" s="424"/>
      <c r="F1314" s="483"/>
      <c r="G1314" s="525"/>
      <c r="H1314" s="385" t="s">
        <v>355</v>
      </c>
      <c r="I1314" s="511">
        <v>0</v>
      </c>
      <c r="J1314" s="425" t="s">
        <v>366</v>
      </c>
      <c r="K1314" s="496"/>
      <c r="L1314" s="496"/>
      <c r="M1314" s="423"/>
      <c r="N1314" s="423"/>
    </row>
    <row r="1315" spans="1:97" s="426" customFormat="1" hidden="1" outlineLevel="1">
      <c r="A1315" s="549" t="s">
        <v>337</v>
      </c>
      <c r="B1315" s="392"/>
      <c r="C1315" s="414"/>
      <c r="D1315" s="490"/>
      <c r="E1315" s="424"/>
      <c r="F1315" s="483"/>
      <c r="G1315" s="525"/>
      <c r="H1315" s="385" t="s">
        <v>356</v>
      </c>
      <c r="I1315" s="511"/>
      <c r="J1315" s="425" t="s">
        <v>366</v>
      </c>
      <c r="K1315" s="496"/>
      <c r="L1315" s="496"/>
      <c r="M1315" s="423"/>
      <c r="N1315" s="423"/>
    </row>
    <row r="1316" spans="1:97" hidden="1" outlineLevel="1">
      <c r="A1316" s="548"/>
      <c r="B1316" s="377"/>
      <c r="C1316" s="421"/>
      <c r="D1316" s="523"/>
      <c r="E1316" s="523"/>
      <c r="F1316" s="380"/>
      <c r="G1316" s="524"/>
      <c r="H1316" s="381"/>
      <c r="I1316" s="509"/>
      <c r="J1316" s="422"/>
      <c r="K1316" s="495"/>
      <c r="L1316" s="495"/>
      <c r="M1316" s="377"/>
      <c r="N1316" s="377"/>
    </row>
    <row r="1317" spans="1:97">
      <c r="A1317" s="490"/>
      <c r="B1317" s="490"/>
      <c r="C1317" s="490"/>
      <c r="D1317" s="490"/>
      <c r="E1317" s="490"/>
      <c r="F1317" s="385"/>
      <c r="G1317" s="385"/>
      <c r="H1317" s="559" t="s">
        <v>3283</v>
      </c>
      <c r="I1317" s="402"/>
      <c r="J1317" s="489"/>
      <c r="K1317" s="450"/>
      <c r="L1317" s="450"/>
      <c r="M1317" s="535"/>
      <c r="N1317" s="536"/>
      <c r="CJ1317" s="479"/>
      <c r="CK1317" s="479"/>
      <c r="CL1317" s="479"/>
      <c r="CM1317" s="479"/>
      <c r="CN1317" s="479"/>
      <c r="CO1317" s="479"/>
      <c r="CP1317" s="479"/>
      <c r="CQ1317" s="479"/>
      <c r="CR1317" s="479"/>
      <c r="CS1317" s="479"/>
    </row>
    <row r="1318" spans="1:97">
      <c r="A1318" s="403" t="s">
        <v>326</v>
      </c>
      <c r="B1318" s="403"/>
      <c r="C1318" s="403"/>
      <c r="D1318" s="403"/>
      <c r="E1318" s="490"/>
      <c r="F1318" s="385"/>
      <c r="G1318" s="385"/>
      <c r="H1318" s="385" t="s">
        <v>320</v>
      </c>
      <c r="I1318" s="385"/>
      <c r="J1318" s="490"/>
      <c r="K1318" s="450"/>
      <c r="L1318" s="450"/>
      <c r="M1318" s="389"/>
      <c r="N1318" s="389"/>
    </row>
    <row r="1319" spans="1:97" s="384" customFormat="1" ht="303.75" outlineLevel="1" collapsed="1">
      <c r="A1319" s="489" t="s">
        <v>1245</v>
      </c>
      <c r="B1319" s="490" t="s">
        <v>237</v>
      </c>
      <c r="C1319" s="490" t="s">
        <v>1829</v>
      </c>
      <c r="D1319" s="398" t="s">
        <v>1830</v>
      </c>
      <c r="E1319" s="399" t="s">
        <v>1831</v>
      </c>
      <c r="F1319" s="385" t="s">
        <v>1832</v>
      </c>
      <c r="G1319" s="385" t="s">
        <v>3482</v>
      </c>
      <c r="H1319" s="482" t="s">
        <v>1833</v>
      </c>
      <c r="I1319" s="483" t="str">
        <f>CONCATENATE(I1320," ",N1320,M1320," ",I1321," ",N1321,M1321," ",I1322," ",N1322,M1322," "," ",)</f>
        <v xml:space="preserve">Механизированная расчистка 83,75Га. Ручная расчистка 0,19Га. Расширение просек 50,22Га.  </v>
      </c>
      <c r="J1319" s="385" t="s">
        <v>365</v>
      </c>
      <c r="K1319" s="467">
        <v>44228</v>
      </c>
      <c r="L1319" s="467">
        <v>44530</v>
      </c>
      <c r="M1319" s="490"/>
      <c r="N1319" s="490"/>
    </row>
    <row r="1320" spans="1:97" ht="81" hidden="1" customHeight="1" outlineLevel="2">
      <c r="A1320" s="438"/>
      <c r="B1320" s="452" t="s">
        <v>237</v>
      </c>
      <c r="C1320" s="452" t="s">
        <v>1829</v>
      </c>
      <c r="D1320" s="398" t="s">
        <v>1830</v>
      </c>
      <c r="E1320" s="385"/>
      <c r="F1320" s="385"/>
      <c r="G1320" s="385" t="s">
        <v>1834</v>
      </c>
      <c r="H1320" s="482" t="s">
        <v>3783</v>
      </c>
      <c r="I1320" s="483" t="s">
        <v>159</v>
      </c>
      <c r="J1320" s="489"/>
      <c r="K1320" s="450"/>
      <c r="L1320" s="450"/>
      <c r="M1320" s="490" t="s">
        <v>44</v>
      </c>
      <c r="N1320" s="438">
        <v>83.75</v>
      </c>
    </row>
    <row r="1321" spans="1:97" ht="81" hidden="1" customHeight="1" outlineLevel="2">
      <c r="A1321" s="450"/>
      <c r="B1321" s="452" t="s">
        <v>237</v>
      </c>
      <c r="C1321" s="452" t="s">
        <v>1829</v>
      </c>
      <c r="D1321" s="398" t="s">
        <v>1830</v>
      </c>
      <c r="E1321" s="385"/>
      <c r="F1321" s="385"/>
      <c r="G1321" s="385" t="s">
        <v>1834</v>
      </c>
      <c r="H1321" s="482" t="s">
        <v>3783</v>
      </c>
      <c r="I1321" s="483" t="s">
        <v>162</v>
      </c>
      <c r="J1321" s="489"/>
      <c r="K1321" s="450"/>
      <c r="L1321" s="450"/>
      <c r="M1321" s="490" t="s">
        <v>44</v>
      </c>
      <c r="N1321" s="438">
        <v>0.19</v>
      </c>
    </row>
    <row r="1322" spans="1:97" ht="40.5" hidden="1" customHeight="1" outlineLevel="2">
      <c r="A1322" s="438"/>
      <c r="B1322" s="452" t="s">
        <v>237</v>
      </c>
      <c r="C1322" s="452" t="s">
        <v>1829</v>
      </c>
      <c r="D1322" s="398" t="s">
        <v>1830</v>
      </c>
      <c r="E1322" s="385"/>
      <c r="F1322" s="385"/>
      <c r="G1322" s="385" t="s">
        <v>1835</v>
      </c>
      <c r="H1322" s="401" t="s">
        <v>3309</v>
      </c>
      <c r="I1322" s="385" t="s">
        <v>165</v>
      </c>
      <c r="J1322" s="489"/>
      <c r="K1322" s="450"/>
      <c r="L1322" s="450"/>
      <c r="M1322" s="490" t="s">
        <v>44</v>
      </c>
      <c r="N1322" s="438">
        <v>50.22</v>
      </c>
    </row>
    <row r="1323" spans="1:97" s="384" customFormat="1" ht="177" customHeight="1" outlineLevel="1" collapsed="1">
      <c r="A1323" s="489" t="s">
        <v>71</v>
      </c>
      <c r="B1323" s="490" t="s">
        <v>237</v>
      </c>
      <c r="C1323" s="398" t="s">
        <v>1836</v>
      </c>
      <c r="D1323" s="398" t="s">
        <v>1830</v>
      </c>
      <c r="E1323" s="399" t="s">
        <v>1837</v>
      </c>
      <c r="F1323" s="385" t="s">
        <v>1838</v>
      </c>
      <c r="G1323" s="385" t="s">
        <v>3483</v>
      </c>
      <c r="H1323" s="401" t="s">
        <v>1839</v>
      </c>
      <c r="I1323" s="385" t="str">
        <f>CONCATENATE(I1324," ",N1324,M1324," ",I1325," ",N1325,M1325," "," ",)</f>
        <v xml:space="preserve">Расширение просек 20,64Га. Вырубка угрожающих деревьев 23шт.  </v>
      </c>
      <c r="J1323" s="385" t="s">
        <v>365</v>
      </c>
      <c r="K1323" s="467">
        <v>44287</v>
      </c>
      <c r="L1323" s="467">
        <v>44469</v>
      </c>
      <c r="M1323" s="490"/>
      <c r="N1323" s="490"/>
    </row>
    <row r="1324" spans="1:97" ht="102" hidden="1" customHeight="1" outlineLevel="2">
      <c r="A1324" s="438"/>
      <c r="B1324" s="452" t="s">
        <v>237</v>
      </c>
      <c r="C1324" s="452" t="s">
        <v>1836</v>
      </c>
      <c r="D1324" s="398" t="s">
        <v>1830</v>
      </c>
      <c r="E1324" s="385"/>
      <c r="F1324" s="385" t="s">
        <v>1840</v>
      </c>
      <c r="G1324" s="385" t="s">
        <v>1835</v>
      </c>
      <c r="H1324" s="401" t="s">
        <v>3310</v>
      </c>
      <c r="I1324" s="385" t="s">
        <v>165</v>
      </c>
      <c r="J1324" s="489"/>
      <c r="K1324" s="450"/>
      <c r="L1324" s="450"/>
      <c r="M1324" s="490" t="s">
        <v>44</v>
      </c>
      <c r="N1324" s="438">
        <v>20.64</v>
      </c>
    </row>
    <row r="1325" spans="1:97" ht="111" hidden="1" customHeight="1" outlineLevel="2">
      <c r="A1325" s="438"/>
      <c r="B1325" s="452" t="s">
        <v>237</v>
      </c>
      <c r="C1325" s="452" t="s">
        <v>1836</v>
      </c>
      <c r="D1325" s="398" t="s">
        <v>1830</v>
      </c>
      <c r="E1325" s="385"/>
      <c r="F1325" s="385"/>
      <c r="G1325" s="385" t="s">
        <v>1841</v>
      </c>
      <c r="H1325" s="401" t="s">
        <v>1842</v>
      </c>
      <c r="I1325" s="385" t="s">
        <v>169</v>
      </c>
      <c r="J1325" s="489"/>
      <c r="K1325" s="450"/>
      <c r="L1325" s="450"/>
      <c r="M1325" s="490" t="s">
        <v>37</v>
      </c>
      <c r="N1325" s="403">
        <v>23</v>
      </c>
    </row>
    <row r="1326" spans="1:97" s="384" customFormat="1" ht="40.5" outlineLevel="1" collapsed="1">
      <c r="A1326" s="489" t="s">
        <v>70</v>
      </c>
      <c r="B1326" s="490" t="s">
        <v>237</v>
      </c>
      <c r="C1326" s="398" t="s">
        <v>1836</v>
      </c>
      <c r="D1326" s="398" t="s">
        <v>1830</v>
      </c>
      <c r="E1326" s="399" t="s">
        <v>1843</v>
      </c>
      <c r="F1326" s="385" t="s">
        <v>1211</v>
      </c>
      <c r="G1326" s="385" t="s">
        <v>1844</v>
      </c>
      <c r="H1326" s="401" t="s">
        <v>1845</v>
      </c>
      <c r="I1326" s="385" t="str">
        <f>CONCATENATE(I1327," ",N1327,M1327," ",I1328," ",N1328,M1328," "," ",)</f>
        <v xml:space="preserve">Механизированная расчистка 3,7Га. Ручная расчистка 0,015Га.  </v>
      </c>
      <c r="J1326" s="385" t="s">
        <v>365</v>
      </c>
      <c r="K1326" s="467">
        <v>44228</v>
      </c>
      <c r="L1326" s="470">
        <v>44285</v>
      </c>
      <c r="M1326" s="490"/>
      <c r="N1326" s="490"/>
    </row>
    <row r="1327" spans="1:97" ht="60.75" hidden="1" outlineLevel="2">
      <c r="A1327" s="438"/>
      <c r="B1327" s="452" t="s">
        <v>237</v>
      </c>
      <c r="C1327" s="452" t="s">
        <v>1836</v>
      </c>
      <c r="D1327" s="398" t="s">
        <v>1830</v>
      </c>
      <c r="E1327" s="385"/>
      <c r="F1327" s="385"/>
      <c r="G1327" s="385" t="s">
        <v>1834</v>
      </c>
      <c r="H1327" s="401" t="s">
        <v>1846</v>
      </c>
      <c r="I1327" s="385" t="s">
        <v>159</v>
      </c>
      <c r="J1327" s="489"/>
      <c r="K1327" s="450"/>
      <c r="L1327" s="450"/>
      <c r="M1327" s="490" t="s">
        <v>44</v>
      </c>
      <c r="N1327" s="438">
        <v>3.7</v>
      </c>
    </row>
    <row r="1328" spans="1:97" ht="60.75" hidden="1" outlineLevel="2">
      <c r="A1328" s="438"/>
      <c r="B1328" s="452" t="s">
        <v>237</v>
      </c>
      <c r="C1328" s="452" t="s">
        <v>1836</v>
      </c>
      <c r="D1328" s="398" t="s">
        <v>1830</v>
      </c>
      <c r="E1328" s="385"/>
      <c r="F1328" s="385"/>
      <c r="G1328" s="385" t="s">
        <v>1834</v>
      </c>
      <c r="H1328" s="401" t="s">
        <v>1846</v>
      </c>
      <c r="I1328" s="385" t="s">
        <v>162</v>
      </c>
      <c r="J1328" s="489"/>
      <c r="K1328" s="450"/>
      <c r="L1328" s="450"/>
      <c r="M1328" s="490" t="s">
        <v>44</v>
      </c>
      <c r="N1328" s="404">
        <v>1.4999999999999999E-2</v>
      </c>
    </row>
    <row r="1329" spans="1:14" s="384" customFormat="1" ht="40.5" outlineLevel="1" collapsed="1">
      <c r="A1329" s="489" t="s">
        <v>295</v>
      </c>
      <c r="B1329" s="490" t="s">
        <v>237</v>
      </c>
      <c r="C1329" s="398" t="s">
        <v>1836</v>
      </c>
      <c r="D1329" s="398" t="s">
        <v>1830</v>
      </c>
      <c r="E1329" s="399" t="s">
        <v>1847</v>
      </c>
      <c r="F1329" s="385" t="s">
        <v>1211</v>
      </c>
      <c r="G1329" s="385" t="s">
        <v>1844</v>
      </c>
      <c r="H1329" s="401" t="s">
        <v>1848</v>
      </c>
      <c r="I1329" s="385" t="str">
        <f>CONCATENATE(I1330," ",N1330,M1330," ",I1331," ",N1331,M1331," "," ",)</f>
        <v xml:space="preserve">Механизированная расчистка 10,08Га. Ручная расчистка 0,016Га.  </v>
      </c>
      <c r="J1329" s="385" t="s">
        <v>365</v>
      </c>
      <c r="K1329" s="467">
        <v>44228</v>
      </c>
      <c r="L1329" s="470">
        <v>44316</v>
      </c>
      <c r="M1329" s="490"/>
      <c r="N1329" s="490"/>
    </row>
    <row r="1330" spans="1:14" ht="60.75" hidden="1" outlineLevel="2">
      <c r="A1330" s="438"/>
      <c r="B1330" s="452" t="s">
        <v>237</v>
      </c>
      <c r="C1330" s="452" t="s">
        <v>1836</v>
      </c>
      <c r="D1330" s="398" t="s">
        <v>1830</v>
      </c>
      <c r="E1330" s="385"/>
      <c r="F1330" s="385"/>
      <c r="G1330" s="385" t="s">
        <v>1834</v>
      </c>
      <c r="H1330" s="401" t="s">
        <v>1849</v>
      </c>
      <c r="I1330" s="385" t="s">
        <v>159</v>
      </c>
      <c r="J1330" s="489"/>
      <c r="K1330" s="450"/>
      <c r="L1330" s="450"/>
      <c r="M1330" s="490" t="s">
        <v>44</v>
      </c>
      <c r="N1330" s="438">
        <v>10.08</v>
      </c>
    </row>
    <row r="1331" spans="1:14" ht="60.75" hidden="1" outlineLevel="2">
      <c r="A1331" s="438"/>
      <c r="B1331" s="452" t="s">
        <v>237</v>
      </c>
      <c r="C1331" s="452" t="s">
        <v>1836</v>
      </c>
      <c r="D1331" s="398" t="s">
        <v>1830</v>
      </c>
      <c r="E1331" s="385"/>
      <c r="F1331" s="385"/>
      <c r="G1331" s="385" t="s">
        <v>1834</v>
      </c>
      <c r="H1331" s="401" t="s">
        <v>1849</v>
      </c>
      <c r="I1331" s="385" t="s">
        <v>162</v>
      </c>
      <c r="J1331" s="489"/>
      <c r="K1331" s="450"/>
      <c r="L1331" s="450"/>
      <c r="M1331" s="490" t="s">
        <v>44</v>
      </c>
      <c r="N1331" s="404">
        <v>1.6E-2</v>
      </c>
    </row>
    <row r="1332" spans="1:14" s="384" customFormat="1" ht="40.5" outlineLevel="1" collapsed="1">
      <c r="A1332" s="489" t="s">
        <v>1246</v>
      </c>
      <c r="B1332" s="490" t="s">
        <v>237</v>
      </c>
      <c r="C1332" s="398" t="s">
        <v>1836</v>
      </c>
      <c r="D1332" s="398" t="s">
        <v>1830</v>
      </c>
      <c r="E1332" s="399" t="s">
        <v>1850</v>
      </c>
      <c r="F1332" s="385" t="s">
        <v>1211</v>
      </c>
      <c r="G1332" s="385" t="s">
        <v>1844</v>
      </c>
      <c r="H1332" s="401" t="s">
        <v>1851</v>
      </c>
      <c r="I1332" s="385" t="str">
        <f>CONCATENATE(I1333," ",N1333,M1333," ",I1334," ",N1334,M1334," "," ",)</f>
        <v xml:space="preserve">Ручная расчистка 3,41Га. Механизированная расчистка 9,5Га.  </v>
      </c>
      <c r="J1332" s="385" t="s">
        <v>365</v>
      </c>
      <c r="K1332" s="467">
        <v>44317</v>
      </c>
      <c r="L1332" s="450">
        <v>44439</v>
      </c>
      <c r="M1332" s="490"/>
      <c r="N1332" s="490"/>
    </row>
    <row r="1333" spans="1:14" ht="60.75" hidden="1" outlineLevel="2">
      <c r="A1333" s="438"/>
      <c r="B1333" s="452" t="s">
        <v>237</v>
      </c>
      <c r="C1333" s="452" t="s">
        <v>1836</v>
      </c>
      <c r="D1333" s="398" t="s">
        <v>1830</v>
      </c>
      <c r="E1333" s="385"/>
      <c r="F1333" s="385"/>
      <c r="G1333" s="385" t="s">
        <v>1834</v>
      </c>
      <c r="H1333" s="401" t="s">
        <v>1852</v>
      </c>
      <c r="I1333" s="385" t="s">
        <v>162</v>
      </c>
      <c r="J1333" s="489"/>
      <c r="K1333" s="450"/>
      <c r="L1333" s="450"/>
      <c r="M1333" s="490" t="s">
        <v>44</v>
      </c>
      <c r="N1333" s="438">
        <v>3.41</v>
      </c>
    </row>
    <row r="1334" spans="1:14" ht="60.75" hidden="1" outlineLevel="2">
      <c r="A1334" s="438"/>
      <c r="B1334" s="452" t="s">
        <v>237</v>
      </c>
      <c r="C1334" s="452" t="s">
        <v>1836</v>
      </c>
      <c r="D1334" s="398" t="s">
        <v>1830</v>
      </c>
      <c r="E1334" s="385"/>
      <c r="F1334" s="385"/>
      <c r="G1334" s="385" t="s">
        <v>1834</v>
      </c>
      <c r="H1334" s="401" t="s">
        <v>1853</v>
      </c>
      <c r="I1334" s="385" t="s">
        <v>159</v>
      </c>
      <c r="J1334" s="489"/>
      <c r="K1334" s="450"/>
      <c r="L1334" s="450"/>
      <c r="M1334" s="490" t="s">
        <v>44</v>
      </c>
      <c r="N1334" s="438">
        <v>9.5</v>
      </c>
    </row>
    <row r="1335" spans="1:14" s="384" customFormat="1" ht="40.5" outlineLevel="1" collapsed="1">
      <c r="A1335" s="489" t="s">
        <v>1247</v>
      </c>
      <c r="B1335" s="490" t="s">
        <v>237</v>
      </c>
      <c r="C1335" s="398" t="s">
        <v>1836</v>
      </c>
      <c r="D1335" s="398" t="s">
        <v>1830</v>
      </c>
      <c r="E1335" s="399" t="s">
        <v>1854</v>
      </c>
      <c r="F1335" s="385" t="s">
        <v>1211</v>
      </c>
      <c r="G1335" s="385" t="s">
        <v>1844</v>
      </c>
      <c r="H1335" s="401" t="s">
        <v>1855</v>
      </c>
      <c r="I1335" s="385" t="str">
        <f>CONCATENATE(I1336," ",N1336,M1336," ",I1337," ",N1337,M1337," "," ",)</f>
        <v xml:space="preserve">Механизированная расчистка 19,09Га. Ручная расчистка 1,61Га.  </v>
      </c>
      <c r="J1335" s="385" t="s">
        <v>365</v>
      </c>
      <c r="K1335" s="467">
        <v>44228</v>
      </c>
      <c r="L1335" s="470">
        <v>44346</v>
      </c>
      <c r="M1335" s="490"/>
      <c r="N1335" s="490"/>
    </row>
    <row r="1336" spans="1:14" ht="60.75" hidden="1" outlineLevel="2">
      <c r="A1336" s="438"/>
      <c r="B1336" s="452" t="s">
        <v>237</v>
      </c>
      <c r="C1336" s="452" t="s">
        <v>1836</v>
      </c>
      <c r="D1336" s="398" t="s">
        <v>1830</v>
      </c>
      <c r="E1336" s="385"/>
      <c r="F1336" s="385"/>
      <c r="G1336" s="385" t="s">
        <v>1834</v>
      </c>
      <c r="H1336" s="401" t="s">
        <v>1856</v>
      </c>
      <c r="I1336" s="385" t="s">
        <v>159</v>
      </c>
      <c r="J1336" s="489"/>
      <c r="K1336" s="450"/>
      <c r="L1336" s="450"/>
      <c r="M1336" s="490" t="s">
        <v>44</v>
      </c>
      <c r="N1336" s="438">
        <v>19.09</v>
      </c>
    </row>
    <row r="1337" spans="1:14" ht="60.75" hidden="1" outlineLevel="2">
      <c r="A1337" s="438"/>
      <c r="B1337" s="452" t="s">
        <v>237</v>
      </c>
      <c r="C1337" s="452" t="s">
        <v>1836</v>
      </c>
      <c r="D1337" s="398" t="s">
        <v>1830</v>
      </c>
      <c r="E1337" s="385"/>
      <c r="F1337" s="385"/>
      <c r="G1337" s="385" t="s">
        <v>1834</v>
      </c>
      <c r="H1337" s="401" t="s">
        <v>1857</v>
      </c>
      <c r="I1337" s="385" t="s">
        <v>162</v>
      </c>
      <c r="J1337" s="489"/>
      <c r="K1337" s="450"/>
      <c r="L1337" s="450"/>
      <c r="M1337" s="490" t="s">
        <v>44</v>
      </c>
      <c r="N1337" s="438">
        <v>1.61</v>
      </c>
    </row>
    <row r="1338" spans="1:14" s="384" customFormat="1" ht="40.5" outlineLevel="1" collapsed="1">
      <c r="A1338" s="489" t="s">
        <v>1248</v>
      </c>
      <c r="B1338" s="490" t="s">
        <v>237</v>
      </c>
      <c r="C1338" s="398" t="s">
        <v>1836</v>
      </c>
      <c r="D1338" s="398" t="s">
        <v>1830</v>
      </c>
      <c r="E1338" s="399" t="s">
        <v>1854</v>
      </c>
      <c r="F1338" s="385" t="s">
        <v>810</v>
      </c>
      <c r="G1338" s="385"/>
      <c r="H1338" s="401" t="s">
        <v>1855</v>
      </c>
      <c r="I1338" s="385" t="str">
        <f>CONCATENATE(I1339," ",N1339,M1339," "," ",)</f>
        <v xml:space="preserve">Обваловка опор 1шт.  </v>
      </c>
      <c r="J1338" s="385" t="s">
        <v>365</v>
      </c>
      <c r="K1338" s="467">
        <v>44228</v>
      </c>
      <c r="L1338" s="470">
        <v>44285</v>
      </c>
      <c r="M1338" s="490"/>
      <c r="N1338" s="490"/>
    </row>
    <row r="1339" spans="1:14" hidden="1" outlineLevel="2">
      <c r="A1339" s="438"/>
      <c r="B1339" s="452" t="s">
        <v>237</v>
      </c>
      <c r="C1339" s="452" t="s">
        <v>1836</v>
      </c>
      <c r="D1339" s="398" t="s">
        <v>1830</v>
      </c>
      <c r="E1339" s="490"/>
      <c r="F1339" s="385"/>
      <c r="G1339" s="385"/>
      <c r="H1339" s="401" t="s">
        <v>1858</v>
      </c>
      <c r="I1339" s="385" t="s">
        <v>174</v>
      </c>
      <c r="J1339" s="385"/>
      <c r="K1339" s="467"/>
      <c r="L1339" s="467"/>
      <c r="M1339" s="490" t="s">
        <v>37</v>
      </c>
      <c r="N1339" s="490">
        <v>1</v>
      </c>
    </row>
    <row r="1340" spans="1:14" s="384" customFormat="1" ht="81.75" customHeight="1" outlineLevel="1" collapsed="1">
      <c r="A1340" s="489" t="s">
        <v>1249</v>
      </c>
      <c r="B1340" s="490" t="s">
        <v>237</v>
      </c>
      <c r="C1340" s="398" t="s">
        <v>1836</v>
      </c>
      <c r="D1340" s="398" t="s">
        <v>1830</v>
      </c>
      <c r="E1340" s="399" t="s">
        <v>1859</v>
      </c>
      <c r="F1340" s="385" t="s">
        <v>1860</v>
      </c>
      <c r="G1340" s="385" t="s">
        <v>1844</v>
      </c>
      <c r="H1340" s="401" t="s">
        <v>1861</v>
      </c>
      <c r="I1340" s="385" t="str">
        <f>CONCATENATE(I1341," ",N1341,M1341," ",I1342," ",N1342,M1342," "," ",)</f>
        <v xml:space="preserve">Механизированная расчистка 4,245Га. Ручная расчистка 0,005Га.  </v>
      </c>
      <c r="J1340" s="385" t="s">
        <v>365</v>
      </c>
      <c r="K1340" s="467">
        <v>44228</v>
      </c>
      <c r="L1340" s="470">
        <v>44316</v>
      </c>
      <c r="M1340" s="490"/>
      <c r="N1340" s="490"/>
    </row>
    <row r="1341" spans="1:14" ht="60.75" hidden="1" outlineLevel="2">
      <c r="A1341" s="489"/>
      <c r="B1341" s="452" t="s">
        <v>237</v>
      </c>
      <c r="C1341" s="452" t="s">
        <v>1836</v>
      </c>
      <c r="D1341" s="398" t="s">
        <v>1830</v>
      </c>
      <c r="E1341" s="385"/>
      <c r="F1341" s="385"/>
      <c r="G1341" s="385" t="s">
        <v>1834</v>
      </c>
      <c r="H1341" s="401" t="s">
        <v>1862</v>
      </c>
      <c r="I1341" s="385" t="s">
        <v>159</v>
      </c>
      <c r="J1341" s="489"/>
      <c r="K1341" s="450"/>
      <c r="L1341" s="450"/>
      <c r="M1341" s="490" t="s">
        <v>44</v>
      </c>
      <c r="N1341" s="490">
        <v>4.2450000000000001</v>
      </c>
    </row>
    <row r="1342" spans="1:14" ht="60.75" hidden="1" outlineLevel="2">
      <c r="A1342" s="438"/>
      <c r="B1342" s="452" t="s">
        <v>237</v>
      </c>
      <c r="C1342" s="452" t="s">
        <v>1836</v>
      </c>
      <c r="D1342" s="398" t="s">
        <v>1830</v>
      </c>
      <c r="E1342" s="385"/>
      <c r="F1342" s="385"/>
      <c r="G1342" s="385" t="s">
        <v>1834</v>
      </c>
      <c r="H1342" s="401" t="s">
        <v>1862</v>
      </c>
      <c r="I1342" s="385" t="s">
        <v>162</v>
      </c>
      <c r="J1342" s="489"/>
      <c r="K1342" s="450"/>
      <c r="L1342" s="450"/>
      <c r="M1342" s="490" t="s">
        <v>44</v>
      </c>
      <c r="N1342" s="404">
        <v>5.0000000000000001E-3</v>
      </c>
    </row>
    <row r="1343" spans="1:14" s="384" customFormat="1" ht="129.75" customHeight="1" outlineLevel="1" collapsed="1">
      <c r="A1343" s="489" t="s">
        <v>1250</v>
      </c>
      <c r="B1343" s="490" t="s">
        <v>237</v>
      </c>
      <c r="C1343" s="398" t="s">
        <v>1836</v>
      </c>
      <c r="D1343" s="398" t="s">
        <v>1830</v>
      </c>
      <c r="E1343" s="399" t="s">
        <v>1859</v>
      </c>
      <c r="F1343" s="385" t="s">
        <v>1863</v>
      </c>
      <c r="G1343" s="385" t="s">
        <v>1864</v>
      </c>
      <c r="H1343" s="401" t="s">
        <v>1861</v>
      </c>
      <c r="I1343" s="385" t="str">
        <f>CONCATENATE(I1344," ",N1344,M1344," ",I1345," ",N1345,M1345," ",I1346," ",N1346,M1346," "," ",)</f>
        <v xml:space="preserve">Выправка опор 3шт. Обваловка опор 7шт. Ручная расчистка 0,005Га.  </v>
      </c>
      <c r="J1343" s="385" t="s">
        <v>365</v>
      </c>
      <c r="K1343" s="467">
        <v>44228</v>
      </c>
      <c r="L1343" s="470">
        <v>44285</v>
      </c>
      <c r="M1343" s="490"/>
      <c r="N1343" s="490"/>
    </row>
    <row r="1344" spans="1:14" ht="40.5" hidden="1" outlineLevel="2">
      <c r="A1344" s="438"/>
      <c r="B1344" s="452" t="s">
        <v>237</v>
      </c>
      <c r="C1344" s="452" t="s">
        <v>1836</v>
      </c>
      <c r="D1344" s="398" t="s">
        <v>1830</v>
      </c>
      <c r="E1344" s="490"/>
      <c r="F1344" s="385"/>
      <c r="G1344" s="385" t="s">
        <v>1865</v>
      </c>
      <c r="H1344" s="401" t="s">
        <v>1866</v>
      </c>
      <c r="I1344" s="402" t="s">
        <v>167</v>
      </c>
      <c r="J1344" s="385"/>
      <c r="K1344" s="467"/>
      <c r="L1344" s="467"/>
      <c r="M1344" s="490" t="s">
        <v>37</v>
      </c>
      <c r="N1344" s="490">
        <v>3</v>
      </c>
    </row>
    <row r="1345" spans="1:14" hidden="1" outlineLevel="2">
      <c r="A1345" s="438"/>
      <c r="B1345" s="452" t="s">
        <v>237</v>
      </c>
      <c r="C1345" s="452" t="s">
        <v>1836</v>
      </c>
      <c r="D1345" s="398" t="s">
        <v>1830</v>
      </c>
      <c r="E1345" s="490"/>
      <c r="F1345" s="385"/>
      <c r="G1345" s="385"/>
      <c r="H1345" s="401" t="s">
        <v>1867</v>
      </c>
      <c r="I1345" s="385" t="s">
        <v>174</v>
      </c>
      <c r="J1345" s="385"/>
      <c r="K1345" s="467"/>
      <c r="L1345" s="467"/>
      <c r="M1345" s="490" t="s">
        <v>37</v>
      </c>
      <c r="N1345" s="490">
        <v>7</v>
      </c>
    </row>
    <row r="1346" spans="1:14" ht="60.75" hidden="1" outlineLevel="2">
      <c r="A1346" s="450"/>
      <c r="B1346" s="452" t="s">
        <v>237</v>
      </c>
      <c r="C1346" s="452" t="s">
        <v>1836</v>
      </c>
      <c r="D1346" s="398" t="s">
        <v>1830</v>
      </c>
      <c r="E1346" s="385"/>
      <c r="F1346" s="385"/>
      <c r="G1346" s="385" t="s">
        <v>1834</v>
      </c>
      <c r="H1346" s="401" t="s">
        <v>1868</v>
      </c>
      <c r="I1346" s="385" t="s">
        <v>162</v>
      </c>
      <c r="J1346" s="489"/>
      <c r="K1346" s="450"/>
      <c r="L1346" s="450"/>
      <c r="M1346" s="490" t="s">
        <v>44</v>
      </c>
      <c r="N1346" s="404">
        <v>5.0000000000000001E-3</v>
      </c>
    </row>
    <row r="1347" spans="1:14" s="384" customFormat="1" ht="40.5" outlineLevel="1" collapsed="1">
      <c r="A1347" s="489" t="s">
        <v>1251</v>
      </c>
      <c r="B1347" s="490" t="s">
        <v>237</v>
      </c>
      <c r="C1347" s="398" t="s">
        <v>1836</v>
      </c>
      <c r="D1347" s="398" t="s">
        <v>1830</v>
      </c>
      <c r="E1347" s="399" t="s">
        <v>1869</v>
      </c>
      <c r="F1347" s="385" t="s">
        <v>1211</v>
      </c>
      <c r="G1347" s="385" t="s">
        <v>1844</v>
      </c>
      <c r="H1347" s="401" t="s">
        <v>1870</v>
      </c>
      <c r="I1347" s="385" t="str">
        <f>CONCATENATE(I1348," ",N1348,M1348," ",I1349," ",N1349,M1349," ",I1350," ",N1350,M1350," "," ",)</f>
        <v xml:space="preserve">Механизированная расчистка 2,19Га. Ручная расчистка 0,55Га. Вырубка угрожающих деревьев 30шт.  </v>
      </c>
      <c r="J1347" s="385" t="s">
        <v>365</v>
      </c>
      <c r="K1347" s="467">
        <v>44348</v>
      </c>
      <c r="L1347" s="467">
        <v>44439</v>
      </c>
      <c r="M1347" s="490"/>
      <c r="N1347" s="490"/>
    </row>
    <row r="1348" spans="1:14" ht="60.75" hidden="1" outlineLevel="2">
      <c r="A1348" s="489"/>
      <c r="B1348" s="452" t="s">
        <v>237</v>
      </c>
      <c r="C1348" s="452" t="s">
        <v>1836</v>
      </c>
      <c r="D1348" s="398" t="s">
        <v>1830</v>
      </c>
      <c r="E1348" s="385"/>
      <c r="F1348" s="385"/>
      <c r="G1348" s="385" t="s">
        <v>1834</v>
      </c>
      <c r="H1348" s="401" t="s">
        <v>1871</v>
      </c>
      <c r="I1348" s="385" t="s">
        <v>159</v>
      </c>
      <c r="J1348" s="489"/>
      <c r="K1348" s="450"/>
      <c r="L1348" s="450"/>
      <c r="M1348" s="490" t="s">
        <v>44</v>
      </c>
      <c r="N1348" s="490">
        <v>2.19</v>
      </c>
    </row>
    <row r="1349" spans="1:14" ht="60.75" hidden="1" outlineLevel="2">
      <c r="A1349" s="489"/>
      <c r="B1349" s="452" t="s">
        <v>237</v>
      </c>
      <c r="C1349" s="452" t="s">
        <v>1836</v>
      </c>
      <c r="D1349" s="398" t="s">
        <v>1830</v>
      </c>
      <c r="E1349" s="385"/>
      <c r="F1349" s="385"/>
      <c r="G1349" s="385" t="s">
        <v>1834</v>
      </c>
      <c r="H1349" s="401" t="s">
        <v>1872</v>
      </c>
      <c r="I1349" s="385" t="s">
        <v>162</v>
      </c>
      <c r="J1349" s="489"/>
      <c r="K1349" s="450"/>
      <c r="L1349" s="450"/>
      <c r="M1349" s="490" t="s">
        <v>44</v>
      </c>
      <c r="N1349" s="490">
        <v>0.55000000000000004</v>
      </c>
    </row>
    <row r="1350" spans="1:14" ht="60.75" hidden="1" outlineLevel="2">
      <c r="A1350" s="450"/>
      <c r="B1350" s="452" t="s">
        <v>237</v>
      </c>
      <c r="C1350" s="452" t="s">
        <v>1836</v>
      </c>
      <c r="D1350" s="398" t="s">
        <v>1830</v>
      </c>
      <c r="E1350" s="385"/>
      <c r="F1350" s="385"/>
      <c r="G1350" s="385" t="s">
        <v>1841</v>
      </c>
      <c r="H1350" s="401" t="s">
        <v>1873</v>
      </c>
      <c r="I1350" s="385" t="s">
        <v>169</v>
      </c>
      <c r="J1350" s="489"/>
      <c r="K1350" s="450"/>
      <c r="L1350" s="450"/>
      <c r="M1350" s="490" t="s">
        <v>37</v>
      </c>
      <c r="N1350" s="403">
        <v>30</v>
      </c>
    </row>
    <row r="1351" spans="1:14" s="384" customFormat="1" ht="40.5" outlineLevel="1" collapsed="1">
      <c r="A1351" s="489" t="s">
        <v>1746</v>
      </c>
      <c r="B1351" s="490" t="s">
        <v>237</v>
      </c>
      <c r="C1351" s="398" t="s">
        <v>1836</v>
      </c>
      <c r="D1351" s="398" t="s">
        <v>1830</v>
      </c>
      <c r="E1351" s="399" t="s">
        <v>1874</v>
      </c>
      <c r="F1351" s="385" t="s">
        <v>1211</v>
      </c>
      <c r="G1351" s="385" t="s">
        <v>1844</v>
      </c>
      <c r="H1351" s="401" t="s">
        <v>1875</v>
      </c>
      <c r="I1351" s="385" t="str">
        <f>CONCATENATE(I1352," ",N1352,M1352," ",I1353," ",N1353,M1353," "," ",)</f>
        <v xml:space="preserve">Механизированная расчистка 106,41Га. Ручная расчистка 0,63Га.  </v>
      </c>
      <c r="J1351" s="385" t="s">
        <v>365</v>
      </c>
      <c r="K1351" s="467">
        <v>44228</v>
      </c>
      <c r="L1351" s="470">
        <v>44377</v>
      </c>
      <c r="M1351" s="490"/>
      <c r="N1351" s="490"/>
    </row>
    <row r="1352" spans="1:14" ht="60.75" hidden="1" outlineLevel="2">
      <c r="A1352" s="438"/>
      <c r="B1352" s="452" t="s">
        <v>237</v>
      </c>
      <c r="C1352" s="452" t="s">
        <v>1836</v>
      </c>
      <c r="D1352" s="398" t="s">
        <v>1830</v>
      </c>
      <c r="E1352" s="385"/>
      <c r="F1352" s="385"/>
      <c r="G1352" s="385" t="s">
        <v>1834</v>
      </c>
      <c r="H1352" s="401" t="s">
        <v>1876</v>
      </c>
      <c r="I1352" s="385" t="s">
        <v>159</v>
      </c>
      <c r="J1352" s="489"/>
      <c r="K1352" s="450"/>
      <c r="L1352" s="450"/>
      <c r="M1352" s="490" t="s">
        <v>44</v>
      </c>
      <c r="N1352" s="438">
        <v>106.41</v>
      </c>
    </row>
    <row r="1353" spans="1:14" ht="60.75" hidden="1" outlineLevel="2">
      <c r="A1353" s="438"/>
      <c r="B1353" s="452" t="s">
        <v>237</v>
      </c>
      <c r="C1353" s="452" t="s">
        <v>1836</v>
      </c>
      <c r="D1353" s="398" t="s">
        <v>1830</v>
      </c>
      <c r="E1353" s="385"/>
      <c r="F1353" s="385"/>
      <c r="G1353" s="385" t="s">
        <v>1834</v>
      </c>
      <c r="H1353" s="401" t="s">
        <v>1877</v>
      </c>
      <c r="I1353" s="385" t="s">
        <v>162</v>
      </c>
      <c r="J1353" s="489"/>
      <c r="K1353" s="450"/>
      <c r="L1353" s="450"/>
      <c r="M1353" s="490" t="s">
        <v>44</v>
      </c>
      <c r="N1353" s="438">
        <v>0.63</v>
      </c>
    </row>
    <row r="1354" spans="1:14" s="384" customFormat="1" ht="40.5" outlineLevel="1" collapsed="1">
      <c r="A1354" s="489" t="s">
        <v>1252</v>
      </c>
      <c r="B1354" s="490" t="s">
        <v>237</v>
      </c>
      <c r="C1354" s="398" t="s">
        <v>1836</v>
      </c>
      <c r="D1354" s="398" t="s">
        <v>1830</v>
      </c>
      <c r="E1354" s="399" t="s">
        <v>1878</v>
      </c>
      <c r="F1354" s="385" t="s">
        <v>1211</v>
      </c>
      <c r="G1354" s="385" t="s">
        <v>1844</v>
      </c>
      <c r="H1354" s="401" t="s">
        <v>1879</v>
      </c>
      <c r="I1354" s="385" t="str">
        <f>CONCATENATE(I1355," ",N1355,M1355," ",I1356," ",N1356,M1356," "," ",)</f>
        <v xml:space="preserve">Механизированная расчистка 58,06Га. Ручная расчистка 0,056Га.  </v>
      </c>
      <c r="J1354" s="385" t="s">
        <v>365</v>
      </c>
      <c r="K1354" s="467">
        <v>44228</v>
      </c>
      <c r="L1354" s="467">
        <v>44469</v>
      </c>
      <c r="M1354" s="490"/>
      <c r="N1354" s="490"/>
    </row>
    <row r="1355" spans="1:14" ht="60.75" hidden="1" outlineLevel="2">
      <c r="A1355" s="438"/>
      <c r="B1355" s="452" t="s">
        <v>237</v>
      </c>
      <c r="C1355" s="452" t="s">
        <v>1836</v>
      </c>
      <c r="D1355" s="398" t="s">
        <v>1830</v>
      </c>
      <c r="E1355" s="385"/>
      <c r="F1355" s="385"/>
      <c r="G1355" s="385" t="s">
        <v>1834</v>
      </c>
      <c r="H1355" s="401" t="s">
        <v>1880</v>
      </c>
      <c r="I1355" s="385" t="s">
        <v>159</v>
      </c>
      <c r="J1355" s="489"/>
      <c r="K1355" s="450"/>
      <c r="L1355" s="450"/>
      <c r="M1355" s="490" t="s">
        <v>44</v>
      </c>
      <c r="N1355" s="490">
        <v>58.06</v>
      </c>
    </row>
    <row r="1356" spans="1:14" ht="60.75" hidden="1" outlineLevel="2">
      <c r="A1356" s="438"/>
      <c r="B1356" s="452" t="s">
        <v>237</v>
      </c>
      <c r="C1356" s="452" t="s">
        <v>1836</v>
      </c>
      <c r="D1356" s="398" t="s">
        <v>1830</v>
      </c>
      <c r="E1356" s="385"/>
      <c r="F1356" s="385"/>
      <c r="G1356" s="385" t="s">
        <v>1834</v>
      </c>
      <c r="H1356" s="401" t="s">
        <v>1880</v>
      </c>
      <c r="I1356" s="385" t="s">
        <v>162</v>
      </c>
      <c r="J1356" s="489"/>
      <c r="K1356" s="450"/>
      <c r="L1356" s="450"/>
      <c r="M1356" s="490" t="s">
        <v>44</v>
      </c>
      <c r="N1356" s="404">
        <v>5.6000000000000001E-2</v>
      </c>
    </row>
    <row r="1357" spans="1:14" s="384" customFormat="1" ht="40.5" outlineLevel="1" collapsed="1">
      <c r="A1357" s="489" t="s">
        <v>1253</v>
      </c>
      <c r="B1357" s="490" t="s">
        <v>237</v>
      </c>
      <c r="C1357" s="398" t="s">
        <v>1836</v>
      </c>
      <c r="D1357" s="398" t="s">
        <v>1830</v>
      </c>
      <c r="E1357" s="399" t="s">
        <v>1881</v>
      </c>
      <c r="F1357" s="385" t="s">
        <v>1211</v>
      </c>
      <c r="G1357" s="385" t="s">
        <v>1844</v>
      </c>
      <c r="H1357" s="401" t="s">
        <v>1882</v>
      </c>
      <c r="I1357" s="385" t="str">
        <f>CONCATENATE(I1358," ",N1358,M1358," ",I1359," ",N1359,M1359," "," ",)</f>
        <v xml:space="preserve">Механизированная расчистка 3,25Га. Ручная расчистка 2,75Га.  </v>
      </c>
      <c r="J1357" s="385" t="s">
        <v>365</v>
      </c>
      <c r="K1357" s="467">
        <v>44317</v>
      </c>
      <c r="L1357" s="467">
        <v>44438</v>
      </c>
      <c r="M1357" s="490"/>
      <c r="N1357" s="490"/>
    </row>
    <row r="1358" spans="1:14" ht="60.75" hidden="1" outlineLevel="2">
      <c r="A1358" s="438"/>
      <c r="B1358" s="452" t="s">
        <v>237</v>
      </c>
      <c r="C1358" s="452" t="s">
        <v>1836</v>
      </c>
      <c r="D1358" s="398" t="s">
        <v>1830</v>
      </c>
      <c r="E1358" s="385"/>
      <c r="F1358" s="385"/>
      <c r="G1358" s="385" t="s">
        <v>1834</v>
      </c>
      <c r="H1358" s="401" t="s">
        <v>1883</v>
      </c>
      <c r="I1358" s="385" t="s">
        <v>159</v>
      </c>
      <c r="J1358" s="489"/>
      <c r="K1358" s="450"/>
      <c r="L1358" s="450"/>
      <c r="M1358" s="490" t="s">
        <v>44</v>
      </c>
      <c r="N1358" s="438">
        <v>3.25</v>
      </c>
    </row>
    <row r="1359" spans="1:14" ht="60.75" hidden="1" outlineLevel="2">
      <c r="A1359" s="450"/>
      <c r="B1359" s="452" t="s">
        <v>237</v>
      </c>
      <c r="C1359" s="452" t="s">
        <v>1836</v>
      </c>
      <c r="D1359" s="398" t="s">
        <v>1830</v>
      </c>
      <c r="E1359" s="385"/>
      <c r="F1359" s="385"/>
      <c r="G1359" s="385" t="s">
        <v>1834</v>
      </c>
      <c r="H1359" s="401" t="s">
        <v>1884</v>
      </c>
      <c r="I1359" s="385" t="s">
        <v>162</v>
      </c>
      <c r="J1359" s="489"/>
      <c r="K1359" s="450"/>
      <c r="L1359" s="450"/>
      <c r="M1359" s="490" t="s">
        <v>44</v>
      </c>
      <c r="N1359" s="438">
        <v>2.75</v>
      </c>
    </row>
    <row r="1360" spans="1:14" s="384" customFormat="1" ht="40.5" outlineLevel="1" collapsed="1">
      <c r="A1360" s="489" t="s">
        <v>1254</v>
      </c>
      <c r="B1360" s="490" t="s">
        <v>237</v>
      </c>
      <c r="C1360" s="398" t="s">
        <v>1836</v>
      </c>
      <c r="D1360" s="398" t="s">
        <v>1830</v>
      </c>
      <c r="E1360" s="399" t="s">
        <v>1885</v>
      </c>
      <c r="F1360" s="385" t="s">
        <v>1211</v>
      </c>
      <c r="G1360" s="385" t="s">
        <v>1844</v>
      </c>
      <c r="H1360" s="401" t="s">
        <v>1886</v>
      </c>
      <c r="I1360" s="385" t="str">
        <f>CONCATENATE(I1361," ",N1361,M1361," ",I1362," ",N1362,M1362," "," ",)</f>
        <v xml:space="preserve">Механизированная расчистка 18,11Га. Ручная расчистка 0,025Га.  </v>
      </c>
      <c r="J1360" s="385" t="s">
        <v>365</v>
      </c>
      <c r="K1360" s="467">
        <v>44228</v>
      </c>
      <c r="L1360" s="467">
        <v>44439</v>
      </c>
      <c r="M1360" s="490"/>
      <c r="N1360" s="490"/>
    </row>
    <row r="1361" spans="1:14" ht="60.75" hidden="1" outlineLevel="2">
      <c r="A1361" s="438"/>
      <c r="B1361" s="452" t="s">
        <v>237</v>
      </c>
      <c r="C1361" s="452" t="s">
        <v>1836</v>
      </c>
      <c r="D1361" s="398" t="s">
        <v>1830</v>
      </c>
      <c r="E1361" s="385"/>
      <c r="F1361" s="385"/>
      <c r="G1361" s="385" t="s">
        <v>1834</v>
      </c>
      <c r="H1361" s="401" t="s">
        <v>3784</v>
      </c>
      <c r="I1361" s="385" t="s">
        <v>159</v>
      </c>
      <c r="J1361" s="489"/>
      <c r="K1361" s="450"/>
      <c r="L1361" s="450"/>
      <c r="M1361" s="490" t="s">
        <v>44</v>
      </c>
      <c r="N1361" s="490">
        <v>18.11</v>
      </c>
    </row>
    <row r="1362" spans="1:14" ht="60.75" hidden="1" outlineLevel="2">
      <c r="A1362" s="438"/>
      <c r="B1362" s="452" t="s">
        <v>237</v>
      </c>
      <c r="C1362" s="452" t="s">
        <v>1836</v>
      </c>
      <c r="D1362" s="398" t="s">
        <v>1830</v>
      </c>
      <c r="E1362" s="385"/>
      <c r="F1362" s="385"/>
      <c r="G1362" s="385" t="s">
        <v>1834</v>
      </c>
      <c r="H1362" s="401" t="s">
        <v>3784</v>
      </c>
      <c r="I1362" s="385" t="s">
        <v>162</v>
      </c>
      <c r="J1362" s="489"/>
      <c r="K1362" s="450"/>
      <c r="L1362" s="450"/>
      <c r="M1362" s="490" t="s">
        <v>44</v>
      </c>
      <c r="N1362" s="490">
        <v>2.5000000000000001E-2</v>
      </c>
    </row>
    <row r="1363" spans="1:14" s="384" customFormat="1" ht="40.5" outlineLevel="1" collapsed="1">
      <c r="A1363" s="489" t="s">
        <v>1749</v>
      </c>
      <c r="B1363" s="490" t="s">
        <v>237</v>
      </c>
      <c r="C1363" s="455" t="s">
        <v>1836</v>
      </c>
      <c r="D1363" s="398" t="s">
        <v>1830</v>
      </c>
      <c r="E1363" s="398" t="s">
        <v>1887</v>
      </c>
      <c r="F1363" s="385" t="s">
        <v>1211</v>
      </c>
      <c r="G1363" s="385" t="s">
        <v>1844</v>
      </c>
      <c r="H1363" s="401" t="s">
        <v>1888</v>
      </c>
      <c r="I1363" s="385" t="str">
        <f>CONCATENATE(I1364," ",N1364,M1364," ",I1365," ",N1365,M1365)</f>
        <v>Ручная расчистка  1Га. Замена дефектных изоляторов 5шт.</v>
      </c>
      <c r="J1363" s="385" t="s">
        <v>365</v>
      </c>
      <c r="K1363" s="467">
        <v>44256</v>
      </c>
      <c r="L1363" s="467">
        <v>44530</v>
      </c>
      <c r="M1363" s="490"/>
      <c r="N1363" s="490"/>
    </row>
    <row r="1364" spans="1:14" hidden="1" outlineLevel="2">
      <c r="A1364" s="489"/>
      <c r="B1364" s="452" t="s">
        <v>237</v>
      </c>
      <c r="C1364" s="452" t="s">
        <v>1836</v>
      </c>
      <c r="D1364" s="398" t="s">
        <v>1830</v>
      </c>
      <c r="E1364" s="398"/>
      <c r="F1364" s="451" t="s">
        <v>1211</v>
      </c>
      <c r="G1364" s="459" t="s">
        <v>1889</v>
      </c>
      <c r="H1364" s="401" t="s">
        <v>1890</v>
      </c>
      <c r="I1364" s="401" t="s">
        <v>409</v>
      </c>
      <c r="J1364" s="385"/>
      <c r="K1364" s="467"/>
      <c r="L1364" s="467"/>
      <c r="M1364" s="490" t="s">
        <v>44</v>
      </c>
      <c r="N1364" s="490">
        <v>1</v>
      </c>
    </row>
    <row r="1365" spans="1:14" hidden="1" outlineLevel="2">
      <c r="A1365" s="489"/>
      <c r="B1365" s="452" t="s">
        <v>237</v>
      </c>
      <c r="C1365" s="452" t="s">
        <v>1836</v>
      </c>
      <c r="D1365" s="398" t="s">
        <v>1830</v>
      </c>
      <c r="E1365" s="398"/>
      <c r="F1365" s="398"/>
      <c r="G1365" s="385"/>
      <c r="H1365" s="401" t="s">
        <v>1891</v>
      </c>
      <c r="I1365" s="468" t="s">
        <v>1892</v>
      </c>
      <c r="J1365" s="385"/>
      <c r="K1365" s="467"/>
      <c r="L1365" s="467"/>
      <c r="M1365" s="490" t="s">
        <v>37</v>
      </c>
      <c r="N1365" s="490">
        <v>5</v>
      </c>
    </row>
    <row r="1366" spans="1:14" s="384" customFormat="1" ht="123" customHeight="1" outlineLevel="1" collapsed="1">
      <c r="A1366" s="489" t="s">
        <v>1500</v>
      </c>
      <c r="B1366" s="490" t="s">
        <v>237</v>
      </c>
      <c r="C1366" s="455" t="s">
        <v>1836</v>
      </c>
      <c r="D1366" s="398" t="s">
        <v>1830</v>
      </c>
      <c r="E1366" s="398" t="s">
        <v>1893</v>
      </c>
      <c r="F1366" s="385" t="s">
        <v>1894</v>
      </c>
      <c r="G1366" s="385" t="s">
        <v>1895</v>
      </c>
      <c r="H1366" s="401" t="s">
        <v>1896</v>
      </c>
      <c r="I1366" s="385" t="str">
        <f>CONCATENATE(I1367," ",N1367,M1367," ",I1368," ",N1368,M1368," "," ",I1369," ",N1369,M1369," ",I1370," ",N1370,M1370," ",)</f>
        <v xml:space="preserve">Ручная расчистка  1,56Га. Обрезка крон деревьев 32шт.  Замена дефектных изоляторов 12шт. Замена полимерных изоляторов на стеклянные 96шт. </v>
      </c>
      <c r="J1366" s="385" t="s">
        <v>365</v>
      </c>
      <c r="K1366" s="467">
        <v>44256</v>
      </c>
      <c r="L1366" s="467">
        <v>44530</v>
      </c>
      <c r="M1366" s="490"/>
      <c r="N1366" s="490"/>
    </row>
    <row r="1367" spans="1:14" ht="40.5" hidden="1" outlineLevel="2">
      <c r="A1367" s="489"/>
      <c r="B1367" s="452" t="s">
        <v>237</v>
      </c>
      <c r="C1367" s="452" t="s">
        <v>1836</v>
      </c>
      <c r="D1367" s="398" t="s">
        <v>1830</v>
      </c>
      <c r="E1367" s="398"/>
      <c r="F1367" s="451" t="s">
        <v>1211</v>
      </c>
      <c r="G1367" s="459" t="s">
        <v>1889</v>
      </c>
      <c r="H1367" s="401" t="s">
        <v>1897</v>
      </c>
      <c r="I1367" s="401" t="s">
        <v>409</v>
      </c>
      <c r="J1367" s="385"/>
      <c r="K1367" s="467"/>
      <c r="L1367" s="467"/>
      <c r="M1367" s="490" t="s">
        <v>44</v>
      </c>
      <c r="N1367" s="490">
        <v>1.56</v>
      </c>
    </row>
    <row r="1368" spans="1:14" hidden="1" outlineLevel="2">
      <c r="A1368" s="489"/>
      <c r="B1368" s="452" t="s">
        <v>237</v>
      </c>
      <c r="C1368" s="452" t="s">
        <v>1836</v>
      </c>
      <c r="D1368" s="398" t="s">
        <v>1830</v>
      </c>
      <c r="E1368" s="398"/>
      <c r="F1368" s="398"/>
      <c r="G1368" s="385"/>
      <c r="H1368" s="401" t="s">
        <v>1898</v>
      </c>
      <c r="I1368" s="469" t="s">
        <v>215</v>
      </c>
      <c r="J1368" s="385"/>
      <c r="K1368" s="467"/>
      <c r="L1368" s="467"/>
      <c r="M1368" s="490" t="s">
        <v>37</v>
      </c>
      <c r="N1368" s="490">
        <v>32</v>
      </c>
    </row>
    <row r="1369" spans="1:14" ht="40.5" hidden="1" outlineLevel="2">
      <c r="A1369" s="489"/>
      <c r="B1369" s="452" t="s">
        <v>237</v>
      </c>
      <c r="C1369" s="452" t="s">
        <v>1836</v>
      </c>
      <c r="D1369" s="398" t="s">
        <v>1830</v>
      </c>
      <c r="E1369" s="398"/>
      <c r="F1369" s="398"/>
      <c r="G1369" s="385"/>
      <c r="H1369" s="401" t="s">
        <v>1899</v>
      </c>
      <c r="I1369" s="469" t="s">
        <v>1892</v>
      </c>
      <c r="J1369" s="385"/>
      <c r="K1369" s="467"/>
      <c r="L1369" s="467"/>
      <c r="M1369" s="490" t="s">
        <v>37</v>
      </c>
      <c r="N1369" s="490">
        <v>12</v>
      </c>
    </row>
    <row r="1370" spans="1:14" hidden="1" outlineLevel="2">
      <c r="A1370" s="489"/>
      <c r="B1370" s="452" t="s">
        <v>237</v>
      </c>
      <c r="C1370" s="452" t="s">
        <v>1836</v>
      </c>
      <c r="D1370" s="398" t="s">
        <v>1830</v>
      </c>
      <c r="E1370" s="398"/>
      <c r="F1370" s="398"/>
      <c r="G1370" s="385"/>
      <c r="H1370" s="401" t="s">
        <v>1900</v>
      </c>
      <c r="I1370" s="469" t="s">
        <v>1901</v>
      </c>
      <c r="J1370" s="385"/>
      <c r="K1370" s="467"/>
      <c r="L1370" s="467"/>
      <c r="M1370" s="490" t="s">
        <v>37</v>
      </c>
      <c r="N1370" s="490">
        <v>96</v>
      </c>
    </row>
    <row r="1371" spans="1:14" hidden="1" outlineLevel="2">
      <c r="A1371" s="489"/>
      <c r="B1371" s="452" t="s">
        <v>237</v>
      </c>
      <c r="C1371" s="452" t="s">
        <v>1836</v>
      </c>
      <c r="D1371" s="398" t="s">
        <v>1830</v>
      </c>
      <c r="E1371" s="398"/>
      <c r="F1371" s="398"/>
      <c r="G1371" s="385"/>
      <c r="H1371" s="401" t="s">
        <v>1902</v>
      </c>
      <c r="I1371" s="469"/>
      <c r="J1371" s="385"/>
      <c r="K1371" s="467"/>
      <c r="L1371" s="467"/>
      <c r="M1371" s="490"/>
      <c r="N1371" s="490"/>
    </row>
    <row r="1372" spans="1:14" hidden="1" outlineLevel="2">
      <c r="A1372" s="489"/>
      <c r="B1372" s="452" t="s">
        <v>237</v>
      </c>
      <c r="C1372" s="452" t="s">
        <v>1836</v>
      </c>
      <c r="D1372" s="398" t="s">
        <v>1830</v>
      </c>
      <c r="E1372" s="398"/>
      <c r="F1372" s="398"/>
      <c r="G1372" s="385"/>
      <c r="H1372" s="401"/>
      <c r="I1372" s="401" t="s">
        <v>409</v>
      </c>
      <c r="J1372" s="385"/>
      <c r="K1372" s="467"/>
      <c r="L1372" s="467"/>
      <c r="M1372" s="490" t="s">
        <v>44</v>
      </c>
      <c r="N1372" s="490">
        <v>0.78</v>
      </c>
    </row>
    <row r="1373" spans="1:14" hidden="1" outlineLevel="2">
      <c r="A1373" s="489"/>
      <c r="B1373" s="452" t="s">
        <v>237</v>
      </c>
      <c r="C1373" s="452" t="s">
        <v>1836</v>
      </c>
      <c r="D1373" s="398" t="s">
        <v>1830</v>
      </c>
      <c r="E1373" s="398"/>
      <c r="F1373" s="398"/>
      <c r="G1373" s="385"/>
      <c r="H1373" s="401"/>
      <c r="I1373" s="469" t="s">
        <v>215</v>
      </c>
      <c r="J1373" s="385"/>
      <c r="K1373" s="467"/>
      <c r="L1373" s="467"/>
      <c r="M1373" s="490" t="s">
        <v>37</v>
      </c>
      <c r="N1373" s="490">
        <v>16</v>
      </c>
    </row>
    <row r="1374" spans="1:14" hidden="1" outlineLevel="2">
      <c r="A1374" s="489"/>
      <c r="B1374" s="452" t="s">
        <v>237</v>
      </c>
      <c r="C1374" s="452" t="s">
        <v>1836</v>
      </c>
      <c r="D1374" s="398" t="s">
        <v>1830</v>
      </c>
      <c r="E1374" s="398"/>
      <c r="F1374" s="398"/>
      <c r="G1374" s="385"/>
      <c r="H1374" s="401"/>
      <c r="I1374" s="469" t="s">
        <v>1892</v>
      </c>
      <c r="J1374" s="385"/>
      <c r="K1374" s="467"/>
      <c r="L1374" s="467"/>
      <c r="M1374" s="490" t="s">
        <v>37</v>
      </c>
      <c r="N1374" s="490">
        <v>8</v>
      </c>
    </row>
    <row r="1375" spans="1:14" hidden="1" outlineLevel="2">
      <c r="A1375" s="489"/>
      <c r="B1375" s="452" t="s">
        <v>237</v>
      </c>
      <c r="C1375" s="452" t="s">
        <v>1836</v>
      </c>
      <c r="D1375" s="398" t="s">
        <v>1830</v>
      </c>
      <c r="E1375" s="398"/>
      <c r="F1375" s="398"/>
      <c r="G1375" s="385"/>
      <c r="H1375" s="401"/>
      <c r="I1375" s="468" t="s">
        <v>1901</v>
      </c>
      <c r="J1375" s="385"/>
      <c r="K1375" s="467"/>
      <c r="L1375" s="467"/>
      <c r="M1375" s="490" t="s">
        <v>37</v>
      </c>
      <c r="N1375" s="490">
        <v>96</v>
      </c>
    </row>
    <row r="1376" spans="1:14" hidden="1" outlineLevel="2">
      <c r="A1376" s="489"/>
      <c r="B1376" s="452" t="s">
        <v>237</v>
      </c>
      <c r="C1376" s="452" t="s">
        <v>1836</v>
      </c>
      <c r="D1376" s="398" t="s">
        <v>1830</v>
      </c>
      <c r="E1376" s="398"/>
      <c r="F1376" s="398"/>
      <c r="G1376" s="385"/>
      <c r="H1376" s="401" t="s">
        <v>1903</v>
      </c>
      <c r="I1376" s="469"/>
      <c r="J1376" s="385"/>
      <c r="K1376" s="467"/>
      <c r="L1376" s="467"/>
      <c r="M1376" s="490"/>
      <c r="N1376" s="490"/>
    </row>
    <row r="1377" spans="1:14" hidden="1" outlineLevel="2">
      <c r="A1377" s="489"/>
      <c r="B1377" s="452" t="s">
        <v>237</v>
      </c>
      <c r="C1377" s="452" t="s">
        <v>1836</v>
      </c>
      <c r="D1377" s="398" t="s">
        <v>1830</v>
      </c>
      <c r="E1377" s="398"/>
      <c r="F1377" s="398"/>
      <c r="G1377" s="385"/>
      <c r="H1377" s="401"/>
      <c r="I1377" s="401" t="s">
        <v>409</v>
      </c>
      <c r="J1377" s="385"/>
      <c r="K1377" s="467"/>
      <c r="L1377" s="467"/>
      <c r="M1377" s="490" t="s">
        <v>44</v>
      </c>
      <c r="N1377" s="490">
        <v>0.78</v>
      </c>
    </row>
    <row r="1378" spans="1:14" hidden="1" outlineLevel="2">
      <c r="A1378" s="489"/>
      <c r="B1378" s="452" t="s">
        <v>237</v>
      </c>
      <c r="C1378" s="452" t="s">
        <v>1836</v>
      </c>
      <c r="D1378" s="398" t="s">
        <v>1830</v>
      </c>
      <c r="E1378" s="398"/>
      <c r="F1378" s="398"/>
      <c r="G1378" s="385"/>
      <c r="H1378" s="401"/>
      <c r="I1378" s="469" t="s">
        <v>215</v>
      </c>
      <c r="J1378" s="385"/>
      <c r="K1378" s="467"/>
      <c r="L1378" s="467"/>
      <c r="M1378" s="490" t="s">
        <v>37</v>
      </c>
      <c r="N1378" s="490">
        <v>16</v>
      </c>
    </row>
    <row r="1379" spans="1:14" hidden="1" outlineLevel="2">
      <c r="A1379" s="489"/>
      <c r="B1379" s="452" t="s">
        <v>237</v>
      </c>
      <c r="C1379" s="452" t="s">
        <v>1836</v>
      </c>
      <c r="D1379" s="398" t="s">
        <v>1830</v>
      </c>
      <c r="E1379" s="398"/>
      <c r="F1379" s="398"/>
      <c r="G1379" s="385"/>
      <c r="H1379" s="401"/>
      <c r="I1379" s="469" t="s">
        <v>1892</v>
      </c>
      <c r="J1379" s="385"/>
      <c r="K1379" s="467"/>
      <c r="L1379" s="467"/>
      <c r="M1379" s="490" t="s">
        <v>37</v>
      </c>
      <c r="N1379" s="490">
        <v>4</v>
      </c>
    </row>
    <row r="1380" spans="1:14" s="384" customFormat="1" ht="105" customHeight="1" outlineLevel="1" collapsed="1">
      <c r="A1380" s="489" t="s">
        <v>1613</v>
      </c>
      <c r="B1380" s="490" t="s">
        <v>237</v>
      </c>
      <c r="C1380" s="455" t="s">
        <v>1836</v>
      </c>
      <c r="D1380" s="398" t="s">
        <v>1830</v>
      </c>
      <c r="E1380" s="398" t="s">
        <v>1904</v>
      </c>
      <c r="F1380" s="385" t="s">
        <v>1905</v>
      </c>
      <c r="G1380" s="385" t="s">
        <v>1906</v>
      </c>
      <c r="H1380" s="401" t="s">
        <v>1907</v>
      </c>
      <c r="I1380" s="385" t="str">
        <f>CONCATENATE(I1381," ",N1381,M1381," ",I1383," ",N1383,M1383)</f>
        <v xml:space="preserve">  Замена полимерных изоляторовна стеклянные 432шт.</v>
      </c>
      <c r="J1380" s="385" t="s">
        <v>365</v>
      </c>
      <c r="K1380" s="467">
        <v>44256</v>
      </c>
      <c r="L1380" s="467">
        <v>44530</v>
      </c>
      <c r="M1380" s="490"/>
      <c r="N1380" s="490"/>
    </row>
    <row r="1381" spans="1:14" hidden="1" outlineLevel="2">
      <c r="A1381" s="489"/>
      <c r="B1381" s="452" t="s">
        <v>237</v>
      </c>
      <c r="C1381" s="452" t="s">
        <v>1836</v>
      </c>
      <c r="D1381" s="398" t="s">
        <v>1830</v>
      </c>
      <c r="E1381" s="398"/>
      <c r="F1381" s="385"/>
      <c r="G1381" s="385"/>
      <c r="H1381" s="401" t="s">
        <v>1908</v>
      </c>
      <c r="I1381" s="401"/>
      <c r="J1381" s="385"/>
      <c r="K1381" s="467"/>
      <c r="L1381" s="467"/>
      <c r="M1381" s="490"/>
      <c r="N1381" s="490"/>
    </row>
    <row r="1382" spans="1:14" hidden="1" outlineLevel="2">
      <c r="A1382" s="489"/>
      <c r="B1382" s="452" t="s">
        <v>237</v>
      </c>
      <c r="C1382" s="452" t="s">
        <v>1836</v>
      </c>
      <c r="D1382" s="398" t="s">
        <v>1830</v>
      </c>
      <c r="E1382" s="398"/>
      <c r="F1382" s="385"/>
      <c r="G1382" s="385"/>
      <c r="H1382" s="401" t="s">
        <v>1909</v>
      </c>
      <c r="I1382" s="401" t="s">
        <v>1910</v>
      </c>
      <c r="J1382" s="385"/>
      <c r="K1382" s="467"/>
      <c r="L1382" s="467"/>
      <c r="M1382" s="490" t="s">
        <v>37</v>
      </c>
      <c r="N1382" s="490">
        <v>2</v>
      </c>
    </row>
    <row r="1383" spans="1:14" ht="60.75" hidden="1" outlineLevel="2">
      <c r="A1383" s="489"/>
      <c r="B1383" s="452" t="s">
        <v>237</v>
      </c>
      <c r="C1383" s="452" t="s">
        <v>1836</v>
      </c>
      <c r="D1383" s="398" t="s">
        <v>1830</v>
      </c>
      <c r="E1383" s="398"/>
      <c r="F1383" s="398"/>
      <c r="G1383" s="385"/>
      <c r="H1383" s="401" t="s">
        <v>1911</v>
      </c>
      <c r="I1383" s="468" t="s">
        <v>1912</v>
      </c>
      <c r="J1383" s="385"/>
      <c r="K1383" s="467"/>
      <c r="L1383" s="467"/>
      <c r="M1383" s="490" t="s">
        <v>37</v>
      </c>
      <c r="N1383" s="490">
        <v>432</v>
      </c>
    </row>
    <row r="1384" spans="1:14" s="384" customFormat="1" ht="81" outlineLevel="1" collapsed="1">
      <c r="A1384" s="489" t="s">
        <v>1614</v>
      </c>
      <c r="B1384" s="490" t="s">
        <v>237</v>
      </c>
      <c r="C1384" s="455" t="s">
        <v>1836</v>
      </c>
      <c r="D1384" s="398" t="s">
        <v>1830</v>
      </c>
      <c r="E1384" s="398" t="s">
        <v>1913</v>
      </c>
      <c r="F1384" s="385" t="s">
        <v>303</v>
      </c>
      <c r="G1384" s="385"/>
      <c r="H1384" s="401" t="s">
        <v>1914</v>
      </c>
      <c r="I1384" s="385" t="str">
        <f>CONCATENATE(I1385," ",N1385,M1385," ",I1386," ",N1386,M1386," "," ",I1387," ",N1387,M1387," ",I1388," ",N1388,M1388," ",I1395," ",N1399,M1399," ",)</f>
        <v xml:space="preserve">Замена дефектных изоляторов  25шт. Ремонт провода (рем. зажим) 1шт.  Ремонт грозотроса (бандаж)  2шт. Присоединение грозотроса к опоре 1шт Установка поддерж.зажима  на грозотрос 7шт. </v>
      </c>
      <c r="J1384" s="385" t="s">
        <v>365</v>
      </c>
      <c r="K1384" s="467">
        <v>44256</v>
      </c>
      <c r="L1384" s="467">
        <v>44530</v>
      </c>
      <c r="M1384" s="490"/>
      <c r="N1384" s="490"/>
    </row>
    <row r="1385" spans="1:14" ht="120" hidden="1" customHeight="1" outlineLevel="2">
      <c r="A1385" s="489"/>
      <c r="B1385" s="452" t="s">
        <v>237</v>
      </c>
      <c r="C1385" s="452" t="s">
        <v>1836</v>
      </c>
      <c r="D1385" s="398" t="s">
        <v>1830</v>
      </c>
      <c r="E1385" s="398"/>
      <c r="F1385" s="385"/>
      <c r="G1385" s="385"/>
      <c r="H1385" s="401" t="s">
        <v>3782</v>
      </c>
      <c r="I1385" s="401" t="s">
        <v>1910</v>
      </c>
      <c r="J1385" s="385"/>
      <c r="K1385" s="467"/>
      <c r="L1385" s="467"/>
      <c r="M1385" s="490" t="s">
        <v>37</v>
      </c>
      <c r="N1385" s="490">
        <v>25</v>
      </c>
    </row>
    <row r="1386" spans="1:14" hidden="1" outlineLevel="2">
      <c r="A1386" s="489"/>
      <c r="B1386" s="452" t="s">
        <v>237</v>
      </c>
      <c r="C1386" s="452" t="s">
        <v>1836</v>
      </c>
      <c r="D1386" s="398" t="s">
        <v>1830</v>
      </c>
      <c r="E1386" s="398"/>
      <c r="F1386" s="398"/>
      <c r="G1386" s="385"/>
      <c r="H1386" s="401" t="s">
        <v>1915</v>
      </c>
      <c r="I1386" s="469" t="s">
        <v>1916</v>
      </c>
      <c r="J1386" s="385"/>
      <c r="K1386" s="467"/>
      <c r="L1386" s="467"/>
      <c r="M1386" s="490" t="s">
        <v>37</v>
      </c>
      <c r="N1386" s="490">
        <v>1</v>
      </c>
    </row>
    <row r="1387" spans="1:14" hidden="1" outlineLevel="2">
      <c r="A1387" s="489"/>
      <c r="B1387" s="452" t="s">
        <v>237</v>
      </c>
      <c r="C1387" s="452" t="s">
        <v>1836</v>
      </c>
      <c r="D1387" s="398" t="s">
        <v>1830</v>
      </c>
      <c r="E1387" s="398"/>
      <c r="F1387" s="398"/>
      <c r="G1387" s="385"/>
      <c r="H1387" s="401" t="s">
        <v>1917</v>
      </c>
      <c r="I1387" s="469" t="s">
        <v>1918</v>
      </c>
      <c r="J1387" s="385"/>
      <c r="K1387" s="467"/>
      <c r="L1387" s="467"/>
      <c r="M1387" s="490" t="s">
        <v>37</v>
      </c>
      <c r="N1387" s="490">
        <v>2</v>
      </c>
    </row>
    <row r="1388" spans="1:14" hidden="1" outlineLevel="2">
      <c r="A1388" s="489"/>
      <c r="B1388" s="452" t="s">
        <v>237</v>
      </c>
      <c r="C1388" s="452" t="s">
        <v>1836</v>
      </c>
      <c r="D1388" s="398" t="s">
        <v>1830</v>
      </c>
      <c r="E1388" s="398"/>
      <c r="F1388" s="398"/>
      <c r="G1388" s="385"/>
      <c r="H1388" s="401" t="s">
        <v>1919</v>
      </c>
      <c r="I1388" s="468" t="s">
        <v>1920</v>
      </c>
      <c r="J1388" s="385"/>
      <c r="K1388" s="467"/>
      <c r="L1388" s="467"/>
      <c r="M1388" s="490" t="s">
        <v>813</v>
      </c>
      <c r="N1388" s="490">
        <v>1</v>
      </c>
    </row>
    <row r="1389" spans="1:14" hidden="1" outlineLevel="2">
      <c r="A1389" s="489"/>
      <c r="B1389" s="452" t="s">
        <v>237</v>
      </c>
      <c r="C1389" s="452" t="s">
        <v>1836</v>
      </c>
      <c r="D1389" s="398" t="s">
        <v>1830</v>
      </c>
      <c r="E1389" s="398"/>
      <c r="F1389" s="398"/>
      <c r="G1389" s="385"/>
      <c r="H1389" s="401" t="s">
        <v>1921</v>
      </c>
      <c r="I1389" s="469" t="s">
        <v>1922</v>
      </c>
      <c r="J1389" s="385"/>
      <c r="K1389" s="467"/>
      <c r="L1389" s="467"/>
      <c r="M1389" s="490" t="s">
        <v>813</v>
      </c>
      <c r="N1389" s="490">
        <v>6</v>
      </c>
    </row>
    <row r="1390" spans="1:14" hidden="1" outlineLevel="2">
      <c r="A1390" s="489"/>
      <c r="B1390" s="452" t="s">
        <v>237</v>
      </c>
      <c r="C1390" s="452" t="s">
        <v>1836</v>
      </c>
      <c r="D1390" s="398" t="s">
        <v>1830</v>
      </c>
      <c r="E1390" s="398"/>
      <c r="F1390" s="398"/>
      <c r="G1390" s="385"/>
      <c r="H1390" s="401" t="s">
        <v>1923</v>
      </c>
      <c r="I1390" s="469"/>
      <c r="J1390" s="385"/>
      <c r="K1390" s="467"/>
      <c r="L1390" s="467"/>
      <c r="M1390" s="490"/>
      <c r="N1390" s="490"/>
    </row>
    <row r="1391" spans="1:14" hidden="1" outlineLevel="2">
      <c r="A1391" s="489"/>
      <c r="B1391" s="452" t="s">
        <v>237</v>
      </c>
      <c r="C1391" s="452" t="s">
        <v>1836</v>
      </c>
      <c r="D1391" s="398" t="s">
        <v>1830</v>
      </c>
      <c r="E1391" s="398"/>
      <c r="F1391" s="398"/>
      <c r="G1391" s="385"/>
      <c r="H1391" s="401"/>
      <c r="I1391" s="401" t="s">
        <v>1910</v>
      </c>
      <c r="J1391" s="385"/>
      <c r="K1391" s="467"/>
      <c r="L1391" s="467"/>
      <c r="M1391" s="490" t="s">
        <v>37</v>
      </c>
      <c r="N1391" s="490">
        <v>14</v>
      </c>
    </row>
    <row r="1392" spans="1:14" hidden="1" outlineLevel="2">
      <c r="A1392" s="489"/>
      <c r="B1392" s="452" t="s">
        <v>237</v>
      </c>
      <c r="C1392" s="452" t="s">
        <v>1836</v>
      </c>
      <c r="D1392" s="398" t="s">
        <v>1830</v>
      </c>
      <c r="E1392" s="398"/>
      <c r="F1392" s="398"/>
      <c r="G1392" s="385"/>
      <c r="H1392" s="401"/>
      <c r="I1392" s="469" t="s">
        <v>1916</v>
      </c>
      <c r="J1392" s="385"/>
      <c r="K1392" s="467"/>
      <c r="L1392" s="467"/>
      <c r="M1392" s="490" t="s">
        <v>37</v>
      </c>
      <c r="N1392" s="490">
        <v>1</v>
      </c>
    </row>
    <row r="1393" spans="1:14" hidden="1" outlineLevel="2">
      <c r="A1393" s="489"/>
      <c r="B1393" s="452" t="s">
        <v>237</v>
      </c>
      <c r="C1393" s="452" t="s">
        <v>1836</v>
      </c>
      <c r="D1393" s="398" t="s">
        <v>1830</v>
      </c>
      <c r="E1393" s="398"/>
      <c r="F1393" s="398"/>
      <c r="G1393" s="385"/>
      <c r="H1393" s="401"/>
      <c r="I1393" s="469" t="s">
        <v>1918</v>
      </c>
      <c r="J1393" s="385"/>
      <c r="K1393" s="467"/>
      <c r="L1393" s="467"/>
      <c r="M1393" s="490" t="s">
        <v>37</v>
      </c>
      <c r="N1393" s="490">
        <v>2</v>
      </c>
    </row>
    <row r="1394" spans="1:14" hidden="1" outlineLevel="2">
      <c r="A1394" s="489"/>
      <c r="B1394" s="452" t="s">
        <v>237</v>
      </c>
      <c r="C1394" s="452" t="s">
        <v>1836</v>
      </c>
      <c r="D1394" s="398" t="s">
        <v>1830</v>
      </c>
      <c r="E1394" s="398"/>
      <c r="F1394" s="398"/>
      <c r="G1394" s="385"/>
      <c r="H1394" s="401"/>
      <c r="I1394" s="468" t="s">
        <v>1920</v>
      </c>
      <c r="J1394" s="385"/>
      <c r="K1394" s="467"/>
      <c r="L1394" s="467"/>
      <c r="M1394" s="490" t="s">
        <v>813</v>
      </c>
      <c r="N1394" s="490">
        <v>1</v>
      </c>
    </row>
    <row r="1395" spans="1:14" hidden="1" outlineLevel="2">
      <c r="A1395" s="489"/>
      <c r="B1395" s="452" t="s">
        <v>237</v>
      </c>
      <c r="C1395" s="452" t="s">
        <v>1836</v>
      </c>
      <c r="D1395" s="398" t="s">
        <v>1830</v>
      </c>
      <c r="E1395" s="398"/>
      <c r="F1395" s="398"/>
      <c r="G1395" s="385"/>
      <c r="H1395" s="401"/>
      <c r="I1395" s="469" t="s">
        <v>1922</v>
      </c>
      <c r="J1395" s="385"/>
      <c r="K1395" s="467"/>
      <c r="L1395" s="467"/>
      <c r="M1395" s="490" t="s">
        <v>813</v>
      </c>
      <c r="N1395" s="490">
        <v>6</v>
      </c>
    </row>
    <row r="1396" spans="1:14" hidden="1" outlineLevel="2">
      <c r="A1396" s="489"/>
      <c r="B1396" s="452" t="s">
        <v>237</v>
      </c>
      <c r="C1396" s="452" t="s">
        <v>1836</v>
      </c>
      <c r="D1396" s="398" t="s">
        <v>1830</v>
      </c>
      <c r="E1396" s="398"/>
      <c r="F1396" s="398"/>
      <c r="G1396" s="385"/>
      <c r="H1396" s="401" t="s">
        <v>1924</v>
      </c>
      <c r="I1396" s="469"/>
      <c r="J1396" s="385"/>
      <c r="K1396" s="467"/>
      <c r="L1396" s="470"/>
      <c r="M1396" s="490"/>
      <c r="N1396" s="490"/>
    </row>
    <row r="1397" spans="1:14" hidden="1" outlineLevel="2">
      <c r="A1397" s="489"/>
      <c r="B1397" s="452" t="s">
        <v>237</v>
      </c>
      <c r="C1397" s="452" t="s">
        <v>1836</v>
      </c>
      <c r="D1397" s="398" t="s">
        <v>1830</v>
      </c>
      <c r="E1397" s="398"/>
      <c r="F1397" s="398"/>
      <c r="G1397" s="385"/>
      <c r="H1397" s="401"/>
      <c r="I1397" s="401" t="s">
        <v>1910</v>
      </c>
      <c r="J1397" s="385"/>
      <c r="K1397" s="467"/>
      <c r="L1397" s="467"/>
      <c r="M1397" s="490" t="s">
        <v>37</v>
      </c>
      <c r="N1397" s="490">
        <v>4</v>
      </c>
    </row>
    <row r="1398" spans="1:14" hidden="1" outlineLevel="2">
      <c r="A1398" s="489"/>
      <c r="B1398" s="452" t="s">
        <v>237</v>
      </c>
      <c r="C1398" s="452" t="s">
        <v>1836</v>
      </c>
      <c r="D1398" s="398" t="s">
        <v>1830</v>
      </c>
      <c r="E1398" s="398"/>
      <c r="F1398" s="398"/>
      <c r="G1398" s="385"/>
      <c r="H1398" s="401" t="s">
        <v>1925</v>
      </c>
      <c r="I1398" s="469"/>
      <c r="J1398" s="385"/>
      <c r="K1398" s="467"/>
      <c r="L1398" s="470"/>
      <c r="M1398" s="490"/>
      <c r="N1398" s="490"/>
    </row>
    <row r="1399" spans="1:14" hidden="1" outlineLevel="2">
      <c r="A1399" s="489"/>
      <c r="B1399" s="452" t="s">
        <v>237</v>
      </c>
      <c r="C1399" s="452" t="s">
        <v>1836</v>
      </c>
      <c r="D1399" s="398" t="s">
        <v>1830</v>
      </c>
      <c r="E1399" s="398"/>
      <c r="F1399" s="398"/>
      <c r="G1399" s="385"/>
      <c r="H1399" s="401"/>
      <c r="I1399" s="401" t="s">
        <v>1910</v>
      </c>
      <c r="J1399" s="385"/>
      <c r="K1399" s="467"/>
      <c r="L1399" s="467"/>
      <c r="M1399" s="490" t="s">
        <v>37</v>
      </c>
      <c r="N1399" s="490">
        <v>7</v>
      </c>
    </row>
    <row r="1400" spans="1:14" s="384" customFormat="1" ht="40.5" outlineLevel="1" collapsed="1">
      <c r="A1400" s="489" t="s">
        <v>1730</v>
      </c>
      <c r="B1400" s="490" t="s">
        <v>237</v>
      </c>
      <c r="C1400" s="455" t="s">
        <v>1836</v>
      </c>
      <c r="D1400" s="398" t="s">
        <v>1830</v>
      </c>
      <c r="E1400" s="398" t="s">
        <v>1926</v>
      </c>
      <c r="F1400" s="385" t="s">
        <v>303</v>
      </c>
      <c r="G1400" s="385"/>
      <c r="H1400" s="401" t="s">
        <v>1927</v>
      </c>
      <c r="I1400" s="385" t="str">
        <f>CONCATENATE(I1401," ",N1401,M1401," ",I1403," ",N1403,M1403)</f>
        <v xml:space="preserve">  Ремонт грозотроса (бандаж) 2шт.</v>
      </c>
      <c r="J1400" s="385" t="s">
        <v>365</v>
      </c>
      <c r="K1400" s="467">
        <v>44256</v>
      </c>
      <c r="L1400" s="467">
        <v>44530</v>
      </c>
      <c r="M1400" s="490"/>
      <c r="N1400" s="490"/>
    </row>
    <row r="1401" spans="1:14" hidden="1" outlineLevel="2">
      <c r="A1401" s="489"/>
      <c r="B1401" s="452" t="s">
        <v>237</v>
      </c>
      <c r="C1401" s="452" t="s">
        <v>1836</v>
      </c>
      <c r="D1401" s="398" t="s">
        <v>1830</v>
      </c>
      <c r="E1401" s="398"/>
      <c r="F1401" s="385"/>
      <c r="G1401" s="385"/>
      <c r="H1401" s="401" t="s">
        <v>1928</v>
      </c>
      <c r="I1401" s="401"/>
      <c r="J1401" s="385"/>
      <c r="K1401" s="467"/>
      <c r="L1401" s="467"/>
      <c r="M1401" s="471"/>
      <c r="N1401" s="490"/>
    </row>
    <row r="1402" spans="1:14" hidden="1" outlineLevel="2">
      <c r="A1402" s="489"/>
      <c r="B1402" s="452" t="s">
        <v>237</v>
      </c>
      <c r="C1402" s="452" t="s">
        <v>1836</v>
      </c>
      <c r="D1402" s="398" t="s">
        <v>1830</v>
      </c>
      <c r="E1402" s="398"/>
      <c r="F1402" s="385"/>
      <c r="G1402" s="385"/>
      <c r="H1402" s="401" t="s">
        <v>1929</v>
      </c>
      <c r="I1402" s="401" t="s">
        <v>1930</v>
      </c>
      <c r="J1402" s="385"/>
      <c r="K1402" s="467"/>
      <c r="L1402" s="467"/>
      <c r="M1402" s="490" t="s">
        <v>37</v>
      </c>
      <c r="N1402" s="490">
        <v>6</v>
      </c>
    </row>
    <row r="1403" spans="1:14" hidden="1" outlineLevel="2">
      <c r="A1403" s="489"/>
      <c r="B1403" s="452" t="s">
        <v>237</v>
      </c>
      <c r="C1403" s="452" t="s">
        <v>1836</v>
      </c>
      <c r="D1403" s="398" t="s">
        <v>1830</v>
      </c>
      <c r="E1403" s="398"/>
      <c r="F1403" s="398"/>
      <c r="G1403" s="385"/>
      <c r="H1403" s="401" t="s">
        <v>1931</v>
      </c>
      <c r="I1403" s="469" t="s">
        <v>1932</v>
      </c>
      <c r="J1403" s="385"/>
      <c r="K1403" s="467"/>
      <c r="L1403" s="467"/>
      <c r="M1403" s="490" t="s">
        <v>37</v>
      </c>
      <c r="N1403" s="490">
        <v>2</v>
      </c>
    </row>
    <row r="1404" spans="1:14" s="384" customFormat="1" ht="101.25" outlineLevel="1" collapsed="1">
      <c r="A1404" s="489" t="s">
        <v>1933</v>
      </c>
      <c r="B1404" s="490" t="s">
        <v>237</v>
      </c>
      <c r="C1404" s="455" t="s">
        <v>1829</v>
      </c>
      <c r="D1404" s="398" t="s">
        <v>1830</v>
      </c>
      <c r="E1404" s="399" t="s">
        <v>1934</v>
      </c>
      <c r="F1404" s="385" t="s">
        <v>810</v>
      </c>
      <c r="G1404" s="385"/>
      <c r="H1404" s="401" t="s">
        <v>1935</v>
      </c>
      <c r="I1404" s="385" t="str">
        <f>CONCATENATE(I1405," ","(",H1405,")","-",N1405," ",M1405," ",I1406," ","(",H1406,")","-",N1406," ",M1406," ")</f>
        <v xml:space="preserve">Замена дефектных стеклянных изоляторов  (№ 200,201, 203, 204, 205,206, 207, 208, 209, 210,211.)-31 шт. Замена гирлянды подвесных изоляторов (№ 309, 369, 446, 505, 556, 697, 698, 703, 723, 733, 734, 761, 832, 923, 942.)-45 шт. </v>
      </c>
      <c r="J1404" s="385" t="s">
        <v>365</v>
      </c>
      <c r="K1404" s="467">
        <v>44348</v>
      </c>
      <c r="L1404" s="467">
        <v>44408</v>
      </c>
      <c r="M1404" s="490"/>
      <c r="N1404" s="490"/>
    </row>
    <row r="1405" spans="1:14" ht="40.5" hidden="1" outlineLevel="2">
      <c r="A1405" s="489"/>
      <c r="B1405" s="452" t="s">
        <v>237</v>
      </c>
      <c r="C1405" s="455" t="s">
        <v>1829</v>
      </c>
      <c r="D1405" s="398" t="s">
        <v>1830</v>
      </c>
      <c r="E1405" s="398"/>
      <c r="F1405" s="385"/>
      <c r="G1405" s="385"/>
      <c r="H1405" s="401" t="s">
        <v>3347</v>
      </c>
      <c r="I1405" s="401" t="s">
        <v>1936</v>
      </c>
      <c r="J1405" s="385"/>
      <c r="K1405" s="467"/>
      <c r="L1405" s="467"/>
      <c r="M1405" s="490" t="s">
        <v>37</v>
      </c>
      <c r="N1405" s="490">
        <v>31</v>
      </c>
    </row>
    <row r="1406" spans="1:14" ht="40.5" hidden="1" outlineLevel="2">
      <c r="A1406" s="489"/>
      <c r="B1406" s="452" t="s">
        <v>237</v>
      </c>
      <c r="C1406" s="455" t="s">
        <v>1829</v>
      </c>
      <c r="D1406" s="398" t="s">
        <v>1830</v>
      </c>
      <c r="E1406" s="398"/>
      <c r="F1406" s="398"/>
      <c r="G1406" s="385"/>
      <c r="H1406" s="401" t="s">
        <v>3348</v>
      </c>
      <c r="I1406" s="468" t="s">
        <v>1937</v>
      </c>
      <c r="J1406" s="385"/>
      <c r="K1406" s="467"/>
      <c r="L1406" s="467"/>
      <c r="M1406" s="490" t="s">
        <v>37</v>
      </c>
      <c r="N1406" s="490">
        <v>45</v>
      </c>
    </row>
    <row r="1407" spans="1:14" s="384" customFormat="1" ht="202.5" outlineLevel="1" collapsed="1">
      <c r="A1407" s="489" t="s">
        <v>1938</v>
      </c>
      <c r="B1407" s="490" t="s">
        <v>237</v>
      </c>
      <c r="C1407" s="455" t="s">
        <v>1829</v>
      </c>
      <c r="D1407" s="398" t="s">
        <v>1830</v>
      </c>
      <c r="E1407" s="399" t="s">
        <v>1940</v>
      </c>
      <c r="F1407" s="385" t="s">
        <v>1941</v>
      </c>
      <c r="G1407" s="385" t="s">
        <v>1942</v>
      </c>
      <c r="H1407" s="401" t="s">
        <v>1943</v>
      </c>
      <c r="I1407" s="385" t="str">
        <f>CONCATENATE(I1408," ",N1408,M1408," "," ",)</f>
        <v xml:space="preserve">Установка ПЗУ 300шт.  </v>
      </c>
      <c r="J1407" s="385" t="s">
        <v>365</v>
      </c>
      <c r="K1407" s="467">
        <v>44348</v>
      </c>
      <c r="L1407" s="467">
        <v>44469</v>
      </c>
      <c r="M1407" s="490"/>
      <c r="N1407" s="490"/>
    </row>
    <row r="1408" spans="1:14" ht="40.5" hidden="1" outlineLevel="2">
      <c r="A1408" s="489"/>
      <c r="B1408" s="452" t="s">
        <v>237</v>
      </c>
      <c r="C1408" s="455" t="s">
        <v>1829</v>
      </c>
      <c r="D1408" s="398" t="s">
        <v>1830</v>
      </c>
      <c r="E1408" s="398"/>
      <c r="F1408" s="398"/>
      <c r="G1408" s="385" t="s">
        <v>1944</v>
      </c>
      <c r="H1408" s="401" t="s">
        <v>1945</v>
      </c>
      <c r="I1408" s="468" t="s">
        <v>1946</v>
      </c>
      <c r="J1408" s="385"/>
      <c r="K1408" s="467"/>
      <c r="L1408" s="467"/>
      <c r="M1408" s="490" t="s">
        <v>37</v>
      </c>
      <c r="N1408" s="490">
        <v>300</v>
      </c>
    </row>
    <row r="1409" spans="1:14" s="384" customFormat="1" ht="40.5" outlineLevel="1" collapsed="1">
      <c r="A1409" s="489" t="s">
        <v>1939</v>
      </c>
      <c r="B1409" s="490" t="s">
        <v>237</v>
      </c>
      <c r="C1409" s="398" t="s">
        <v>1836</v>
      </c>
      <c r="D1409" s="398" t="s">
        <v>1830</v>
      </c>
      <c r="E1409" s="399" t="s">
        <v>1947</v>
      </c>
      <c r="F1409" s="385" t="s">
        <v>1211</v>
      </c>
      <c r="G1409" s="385" t="s">
        <v>1844</v>
      </c>
      <c r="H1409" s="401" t="s">
        <v>1948</v>
      </c>
      <c r="I1409" s="385" t="str">
        <f>CONCATENATE(I1410," ",N1410,M1410," ",I1411," ",N1411,M1411," "," ",)</f>
        <v xml:space="preserve">Ручная расчистка 10,99Га. Вырубка угрожающих деревьев 15шт.  </v>
      </c>
      <c r="J1409" s="385" t="s">
        <v>365</v>
      </c>
      <c r="K1409" s="467">
        <v>44287</v>
      </c>
      <c r="L1409" s="450">
        <v>44439</v>
      </c>
      <c r="M1409" s="490"/>
      <c r="N1409" s="490"/>
    </row>
    <row r="1410" spans="1:14" ht="60.75" hidden="1" outlineLevel="2">
      <c r="A1410" s="489"/>
      <c r="B1410" s="490"/>
      <c r="C1410" s="398"/>
      <c r="D1410" s="399"/>
      <c r="E1410" s="385"/>
      <c r="F1410" s="385"/>
      <c r="G1410" s="385" t="s">
        <v>1834</v>
      </c>
      <c r="H1410" s="401" t="s">
        <v>1949</v>
      </c>
      <c r="I1410" s="385" t="s">
        <v>162</v>
      </c>
      <c r="J1410" s="489"/>
      <c r="K1410" s="450"/>
      <c r="L1410" s="450"/>
      <c r="M1410" s="490" t="s">
        <v>44</v>
      </c>
      <c r="N1410" s="490">
        <v>10.99</v>
      </c>
    </row>
    <row r="1411" spans="1:14" ht="60.75" hidden="1" outlineLevel="2">
      <c r="A1411" s="450"/>
      <c r="B1411" s="490"/>
      <c r="C1411" s="398"/>
      <c r="D1411" s="399"/>
      <c r="E1411" s="385"/>
      <c r="F1411" s="385"/>
      <c r="G1411" s="385" t="s">
        <v>1841</v>
      </c>
      <c r="H1411" s="401" t="s">
        <v>1950</v>
      </c>
      <c r="I1411" s="385" t="s">
        <v>169</v>
      </c>
      <c r="J1411" s="489"/>
      <c r="K1411" s="450"/>
      <c r="L1411" s="450"/>
      <c r="M1411" s="490" t="s">
        <v>37</v>
      </c>
      <c r="N1411" s="403">
        <v>15</v>
      </c>
    </row>
    <row r="1412" spans="1:14" hidden="1" outlineLevel="2">
      <c r="A1412" s="450"/>
      <c r="B1412" s="452" t="s">
        <v>237</v>
      </c>
      <c r="C1412" s="452" t="s">
        <v>1836</v>
      </c>
      <c r="D1412" s="398" t="s">
        <v>1830</v>
      </c>
      <c r="E1412" s="385"/>
      <c r="F1412" s="400"/>
      <c r="G1412" s="385"/>
      <c r="H1412" s="401"/>
      <c r="I1412" s="385"/>
      <c r="J1412" s="489"/>
      <c r="K1412" s="450"/>
      <c r="L1412" s="450"/>
      <c r="M1412" s="490"/>
      <c r="N1412" s="438"/>
    </row>
    <row r="1413" spans="1:14">
      <c r="A1413" s="403" t="s">
        <v>325</v>
      </c>
      <c r="B1413" s="403"/>
      <c r="C1413" s="403"/>
      <c r="D1413" s="403"/>
      <c r="E1413" s="490"/>
      <c r="F1413" s="385"/>
      <c r="G1413" s="385"/>
      <c r="H1413" s="539" t="s">
        <v>319</v>
      </c>
      <c r="I1413" s="385"/>
      <c r="J1413" s="489"/>
      <c r="K1413" s="450"/>
      <c r="L1413" s="450"/>
      <c r="M1413" s="389"/>
      <c r="N1413" s="389"/>
    </row>
    <row r="1414" spans="1:14" s="384" customFormat="1" ht="40.5" outlineLevel="1" collapsed="1">
      <c r="A1414" s="489" t="s">
        <v>1256</v>
      </c>
      <c r="B1414" s="490" t="s">
        <v>288</v>
      </c>
      <c r="C1414" s="398" t="s">
        <v>1836</v>
      </c>
      <c r="D1414" s="398" t="s">
        <v>1830</v>
      </c>
      <c r="E1414" s="399" t="s">
        <v>1951</v>
      </c>
      <c r="F1414" s="385" t="s">
        <v>1211</v>
      </c>
      <c r="G1414" s="385" t="s">
        <v>1889</v>
      </c>
      <c r="H1414" s="401" t="s">
        <v>1952</v>
      </c>
      <c r="I1414" s="385" t="str">
        <f>CONCATENATE(I1415," ",N1415,M1415," ",I1416," ",N1416,M1416," "," ",)</f>
        <v xml:space="preserve">Механизированная расчистка 4,65Га. Ручная расчистка 4,26Га.  </v>
      </c>
      <c r="J1414" s="385" t="s">
        <v>365</v>
      </c>
      <c r="K1414" s="470">
        <v>44228</v>
      </c>
      <c r="L1414" s="470">
        <v>44316</v>
      </c>
      <c r="M1414" s="490"/>
      <c r="N1414" s="490"/>
    </row>
    <row r="1415" spans="1:14" ht="60.75" hidden="1" outlineLevel="2">
      <c r="A1415" s="438"/>
      <c r="B1415" s="385" t="s">
        <v>52</v>
      </c>
      <c r="C1415" s="452" t="s">
        <v>1836</v>
      </c>
      <c r="D1415" s="385" t="s">
        <v>1830</v>
      </c>
      <c r="E1415" s="385"/>
      <c r="F1415" s="385"/>
      <c r="G1415" s="385" t="s">
        <v>1834</v>
      </c>
      <c r="H1415" s="401" t="s">
        <v>1953</v>
      </c>
      <c r="I1415" s="385" t="s">
        <v>159</v>
      </c>
      <c r="J1415" s="489"/>
      <c r="K1415" s="450"/>
      <c r="L1415" s="450"/>
      <c r="M1415" s="490" t="s">
        <v>44</v>
      </c>
      <c r="N1415" s="490">
        <v>4.6500000000000004</v>
      </c>
    </row>
    <row r="1416" spans="1:14" ht="60.75" hidden="1" outlineLevel="2">
      <c r="A1416" s="438"/>
      <c r="B1416" s="385" t="s">
        <v>52</v>
      </c>
      <c r="C1416" s="452" t="s">
        <v>1836</v>
      </c>
      <c r="D1416" s="385" t="s">
        <v>1830</v>
      </c>
      <c r="E1416" s="385"/>
      <c r="F1416" s="385"/>
      <c r="G1416" s="385" t="s">
        <v>1834</v>
      </c>
      <c r="H1416" s="401" t="s">
        <v>1954</v>
      </c>
      <c r="I1416" s="385" t="s">
        <v>162</v>
      </c>
      <c r="J1416" s="489"/>
      <c r="K1416" s="450"/>
      <c r="L1416" s="450"/>
      <c r="M1416" s="490" t="s">
        <v>44</v>
      </c>
      <c r="N1416" s="438">
        <v>4.26</v>
      </c>
    </row>
    <row r="1417" spans="1:14" s="384" customFormat="1" ht="40.5" outlineLevel="1" collapsed="1">
      <c r="A1417" s="489" t="s">
        <v>1257</v>
      </c>
      <c r="B1417" s="490" t="s">
        <v>288</v>
      </c>
      <c r="C1417" s="398" t="s">
        <v>1836</v>
      </c>
      <c r="D1417" s="398" t="s">
        <v>1830</v>
      </c>
      <c r="E1417" s="399" t="s">
        <v>1955</v>
      </c>
      <c r="F1417" s="385" t="s">
        <v>1211</v>
      </c>
      <c r="G1417" s="385" t="s">
        <v>1889</v>
      </c>
      <c r="H1417" s="401" t="s">
        <v>1956</v>
      </c>
      <c r="I1417" s="385" t="str">
        <f>CONCATENATE(I1418," ",N1418,M1418," ",I1419," ",N1419,M1419," "," ",)</f>
        <v xml:space="preserve">Механизированная расчистка 41,12Га. Ручная расчистка 0,076Га.  </v>
      </c>
      <c r="J1417" s="385" t="s">
        <v>365</v>
      </c>
      <c r="K1417" s="470">
        <v>44228</v>
      </c>
      <c r="L1417" s="470">
        <v>44346</v>
      </c>
      <c r="M1417" s="490"/>
      <c r="N1417" s="490"/>
    </row>
    <row r="1418" spans="1:14" ht="60.75" hidden="1" outlineLevel="2">
      <c r="A1418" s="438"/>
      <c r="B1418" s="385" t="s">
        <v>52</v>
      </c>
      <c r="C1418" s="452" t="s">
        <v>1836</v>
      </c>
      <c r="D1418" s="385" t="s">
        <v>1830</v>
      </c>
      <c r="E1418" s="385"/>
      <c r="F1418" s="385"/>
      <c r="G1418" s="385" t="s">
        <v>1834</v>
      </c>
      <c r="H1418" s="401" t="s">
        <v>1957</v>
      </c>
      <c r="I1418" s="385" t="s">
        <v>159</v>
      </c>
      <c r="J1418" s="489"/>
      <c r="K1418" s="450"/>
      <c r="L1418" s="472"/>
      <c r="M1418" s="490" t="s">
        <v>44</v>
      </c>
      <c r="N1418" s="490">
        <v>41.12</v>
      </c>
    </row>
    <row r="1419" spans="1:14" ht="60.75" hidden="1" outlineLevel="2">
      <c r="A1419" s="438"/>
      <c r="B1419" s="385" t="s">
        <v>52</v>
      </c>
      <c r="C1419" s="452" t="s">
        <v>1836</v>
      </c>
      <c r="D1419" s="385" t="s">
        <v>1830</v>
      </c>
      <c r="E1419" s="385"/>
      <c r="F1419" s="385"/>
      <c r="G1419" s="385" t="s">
        <v>1834</v>
      </c>
      <c r="H1419" s="401" t="s">
        <v>1957</v>
      </c>
      <c r="I1419" s="385" t="s">
        <v>162</v>
      </c>
      <c r="J1419" s="489"/>
      <c r="K1419" s="450"/>
      <c r="L1419" s="472"/>
      <c r="M1419" s="490" t="s">
        <v>44</v>
      </c>
      <c r="N1419" s="490">
        <v>7.5999999999999998E-2</v>
      </c>
    </row>
    <row r="1420" spans="1:14" s="384" customFormat="1" ht="40.5" outlineLevel="1" collapsed="1">
      <c r="A1420" s="489" t="s">
        <v>1258</v>
      </c>
      <c r="B1420" s="490" t="s">
        <v>288</v>
      </c>
      <c r="C1420" s="398" t="s">
        <v>1836</v>
      </c>
      <c r="D1420" s="398" t="s">
        <v>1830</v>
      </c>
      <c r="E1420" s="399" t="s">
        <v>1958</v>
      </c>
      <c r="F1420" s="385" t="s">
        <v>1211</v>
      </c>
      <c r="G1420" s="385" t="s">
        <v>1889</v>
      </c>
      <c r="H1420" s="401" t="s">
        <v>1959</v>
      </c>
      <c r="I1420" s="385" t="str">
        <f>CONCATENATE(I1421," ",N1421,M1421," ",I1422," ",N1422,M1422," "," ",)</f>
        <v xml:space="preserve">Механизированная расчистка 58,85Га. Ручная расчистка 0,0772Га.  </v>
      </c>
      <c r="J1420" s="385" t="s">
        <v>365</v>
      </c>
      <c r="K1420" s="470">
        <v>44228</v>
      </c>
      <c r="L1420" s="470">
        <v>44346</v>
      </c>
      <c r="M1420" s="490"/>
      <c r="N1420" s="490"/>
    </row>
    <row r="1421" spans="1:14" ht="60.75" hidden="1" outlineLevel="2">
      <c r="A1421" s="438"/>
      <c r="B1421" s="385" t="s">
        <v>52</v>
      </c>
      <c r="C1421" s="452" t="s">
        <v>1836</v>
      </c>
      <c r="D1421" s="385" t="s">
        <v>1830</v>
      </c>
      <c r="E1421" s="385"/>
      <c r="F1421" s="385"/>
      <c r="G1421" s="385" t="s">
        <v>1834</v>
      </c>
      <c r="H1421" s="401" t="s">
        <v>3311</v>
      </c>
      <c r="I1421" s="385" t="s">
        <v>159</v>
      </c>
      <c r="J1421" s="489"/>
      <c r="K1421" s="450"/>
      <c r="L1421" s="450"/>
      <c r="M1421" s="490" t="s">
        <v>44</v>
      </c>
      <c r="N1421" s="490">
        <f>13.91+44.94</f>
        <v>58.849999999999994</v>
      </c>
    </row>
    <row r="1422" spans="1:14" ht="60.75" hidden="1" outlineLevel="2">
      <c r="A1422" s="438"/>
      <c r="B1422" s="385" t="s">
        <v>52</v>
      </c>
      <c r="C1422" s="452" t="s">
        <v>1836</v>
      </c>
      <c r="D1422" s="385" t="s">
        <v>1830</v>
      </c>
      <c r="E1422" s="385"/>
      <c r="F1422" s="385"/>
      <c r="G1422" s="385" t="s">
        <v>1834</v>
      </c>
      <c r="H1422" s="401" t="s">
        <v>3311</v>
      </c>
      <c r="I1422" s="385" t="s">
        <v>162</v>
      </c>
      <c r="J1422" s="489"/>
      <c r="K1422" s="450"/>
      <c r="L1422" s="450"/>
      <c r="M1422" s="490" t="s">
        <v>44</v>
      </c>
      <c r="N1422" s="404">
        <v>7.7200000000000005E-2</v>
      </c>
    </row>
    <row r="1423" spans="1:14" s="384" customFormat="1" ht="40.5" outlineLevel="1" collapsed="1">
      <c r="A1423" s="489" t="s">
        <v>1259</v>
      </c>
      <c r="B1423" s="490" t="s">
        <v>52</v>
      </c>
      <c r="C1423" s="490" t="s">
        <v>1960</v>
      </c>
      <c r="D1423" s="398" t="s">
        <v>1830</v>
      </c>
      <c r="E1423" s="490" t="s">
        <v>1962</v>
      </c>
      <c r="F1423" s="385" t="s">
        <v>303</v>
      </c>
      <c r="G1423" s="456"/>
      <c r="H1423" s="401" t="s">
        <v>1963</v>
      </c>
      <c r="I1423" s="385" t="str">
        <f>CONCATENATE(I1424," ",N1424,M1424," ",I1425," ",N1425,M1425," "," ",)</f>
        <v xml:space="preserve">Демонтаж муфт 1шт. Монтаж муфт 1шт.  </v>
      </c>
      <c r="J1423" s="489" t="s">
        <v>365</v>
      </c>
      <c r="K1423" s="450">
        <v>44348</v>
      </c>
      <c r="L1423" s="450">
        <v>44377</v>
      </c>
      <c r="M1423" s="490"/>
      <c r="N1423" s="490"/>
    </row>
    <row r="1424" spans="1:14" hidden="1" outlineLevel="2">
      <c r="A1424" s="438"/>
      <c r="B1424" s="385" t="s">
        <v>52</v>
      </c>
      <c r="C1424" s="452" t="s">
        <v>1960</v>
      </c>
      <c r="D1424" s="385" t="s">
        <v>1830</v>
      </c>
      <c r="E1424" s="385"/>
      <c r="F1424" s="400"/>
      <c r="G1424" s="385"/>
      <c r="H1424" s="401" t="s">
        <v>1964</v>
      </c>
      <c r="I1424" s="402" t="s">
        <v>200</v>
      </c>
      <c r="J1424" s="489" t="s">
        <v>365</v>
      </c>
      <c r="K1424" s="450"/>
      <c r="L1424" s="450"/>
      <c r="M1424" s="490" t="s">
        <v>37</v>
      </c>
      <c r="N1424" s="490">
        <v>1</v>
      </c>
    </row>
    <row r="1425" spans="1:14" hidden="1" outlineLevel="2">
      <c r="A1425" s="453"/>
      <c r="B1425" s="385" t="s">
        <v>52</v>
      </c>
      <c r="C1425" s="452" t="s">
        <v>1960</v>
      </c>
      <c r="D1425" s="385" t="s">
        <v>1830</v>
      </c>
      <c r="E1425" s="385"/>
      <c r="F1425" s="400"/>
      <c r="G1425" s="385"/>
      <c r="H1425" s="401" t="s">
        <v>1965</v>
      </c>
      <c r="I1425" s="402" t="s">
        <v>198</v>
      </c>
      <c r="J1425" s="489" t="s">
        <v>365</v>
      </c>
      <c r="K1425" s="450"/>
      <c r="L1425" s="450"/>
      <c r="M1425" s="490" t="s">
        <v>37</v>
      </c>
      <c r="N1425" s="490">
        <v>1</v>
      </c>
    </row>
    <row r="1426" spans="1:14" s="384" customFormat="1" ht="40.5" outlineLevel="1" collapsed="1">
      <c r="A1426" s="489" t="s">
        <v>1260</v>
      </c>
      <c r="B1426" s="490" t="s">
        <v>52</v>
      </c>
      <c r="C1426" s="490" t="s">
        <v>1960</v>
      </c>
      <c r="D1426" s="398" t="s">
        <v>1830</v>
      </c>
      <c r="E1426" s="490" t="s">
        <v>1966</v>
      </c>
      <c r="F1426" s="385" t="s">
        <v>303</v>
      </c>
      <c r="G1426" s="456"/>
      <c r="H1426" s="401" t="s">
        <v>1967</v>
      </c>
      <c r="I1426" s="385" t="str">
        <f>CONCATENATE(I1427," ",N1427,M1427," ",I1428," ",N1428,M1428," "," ",)</f>
        <v xml:space="preserve">Демонтаж муфт 1шт. Монтаж муфт 1шт.  </v>
      </c>
      <c r="J1426" s="489" t="s">
        <v>365</v>
      </c>
      <c r="K1426" s="450">
        <v>44348</v>
      </c>
      <c r="L1426" s="450">
        <v>44377</v>
      </c>
      <c r="M1426" s="490"/>
      <c r="N1426" s="490"/>
    </row>
    <row r="1427" spans="1:14" hidden="1" outlineLevel="2">
      <c r="A1427" s="438"/>
      <c r="B1427" s="385" t="s">
        <v>52</v>
      </c>
      <c r="C1427" s="452" t="s">
        <v>1960</v>
      </c>
      <c r="D1427" s="385" t="s">
        <v>1830</v>
      </c>
      <c r="E1427" s="385"/>
      <c r="F1427" s="400"/>
      <c r="G1427" s="385"/>
      <c r="H1427" s="401" t="s">
        <v>1964</v>
      </c>
      <c r="I1427" s="402" t="s">
        <v>200</v>
      </c>
      <c r="J1427" s="489" t="s">
        <v>365</v>
      </c>
      <c r="K1427" s="450"/>
      <c r="L1427" s="450"/>
      <c r="M1427" s="490" t="s">
        <v>37</v>
      </c>
      <c r="N1427" s="490">
        <v>1</v>
      </c>
    </row>
    <row r="1428" spans="1:14" hidden="1" outlineLevel="2">
      <c r="A1428" s="453"/>
      <c r="B1428" s="385" t="s">
        <v>52</v>
      </c>
      <c r="C1428" s="452" t="s">
        <v>1960</v>
      </c>
      <c r="D1428" s="385" t="s">
        <v>1830</v>
      </c>
      <c r="E1428" s="385"/>
      <c r="F1428" s="400"/>
      <c r="G1428" s="385"/>
      <c r="H1428" s="401" t="s">
        <v>1965</v>
      </c>
      <c r="I1428" s="402" t="s">
        <v>198</v>
      </c>
      <c r="J1428" s="489" t="s">
        <v>365</v>
      </c>
      <c r="K1428" s="450"/>
      <c r="L1428" s="450"/>
      <c r="M1428" s="490" t="s">
        <v>37</v>
      </c>
      <c r="N1428" s="490">
        <v>1</v>
      </c>
    </row>
    <row r="1429" spans="1:14" s="384" customFormat="1" ht="40.5" outlineLevel="1" collapsed="1">
      <c r="A1429" s="489" t="s">
        <v>1750</v>
      </c>
      <c r="B1429" s="490" t="s">
        <v>52</v>
      </c>
      <c r="C1429" s="490" t="s">
        <v>1960</v>
      </c>
      <c r="D1429" s="398" t="s">
        <v>1830</v>
      </c>
      <c r="E1429" s="490" t="s">
        <v>1968</v>
      </c>
      <c r="F1429" s="385" t="s">
        <v>303</v>
      </c>
      <c r="G1429" s="456"/>
      <c r="H1429" s="401" t="s">
        <v>1969</v>
      </c>
      <c r="I1429" s="385" t="str">
        <f>CONCATENATE(I1430," ",N1430,M1430," ",I1431," ",N1431,M1431," "," ",)</f>
        <v xml:space="preserve">Демонтаж муфт 1шт. Монтаж муфт 1шт.  </v>
      </c>
      <c r="J1429" s="489" t="s">
        <v>365</v>
      </c>
      <c r="K1429" s="450">
        <v>44348</v>
      </c>
      <c r="L1429" s="450">
        <v>44377</v>
      </c>
      <c r="M1429" s="490"/>
      <c r="N1429" s="490"/>
    </row>
    <row r="1430" spans="1:14" hidden="1" outlineLevel="2">
      <c r="A1430" s="438"/>
      <c r="B1430" s="385" t="s">
        <v>52</v>
      </c>
      <c r="C1430" s="452" t="s">
        <v>1960</v>
      </c>
      <c r="D1430" s="385" t="s">
        <v>1830</v>
      </c>
      <c r="E1430" s="385"/>
      <c r="F1430" s="400"/>
      <c r="G1430" s="385" t="s">
        <v>1970</v>
      </c>
      <c r="H1430" s="401" t="s">
        <v>1964</v>
      </c>
      <c r="I1430" s="402" t="s">
        <v>200</v>
      </c>
      <c r="J1430" s="489" t="s">
        <v>365</v>
      </c>
      <c r="K1430" s="450"/>
      <c r="L1430" s="450"/>
      <c r="M1430" s="490" t="s">
        <v>37</v>
      </c>
      <c r="N1430" s="490">
        <v>1</v>
      </c>
    </row>
    <row r="1431" spans="1:14" hidden="1" outlineLevel="2">
      <c r="A1431" s="453"/>
      <c r="B1431" s="385" t="s">
        <v>52</v>
      </c>
      <c r="C1431" s="452" t="s">
        <v>1960</v>
      </c>
      <c r="D1431" s="385" t="s">
        <v>1830</v>
      </c>
      <c r="E1431" s="385"/>
      <c r="F1431" s="400"/>
      <c r="G1431" s="385"/>
      <c r="H1431" s="401" t="s">
        <v>1971</v>
      </c>
      <c r="I1431" s="402" t="s">
        <v>198</v>
      </c>
      <c r="J1431" s="489" t="s">
        <v>365</v>
      </c>
      <c r="K1431" s="450"/>
      <c r="L1431" s="450"/>
      <c r="M1431" s="490" t="s">
        <v>37</v>
      </c>
      <c r="N1431" s="490">
        <v>1</v>
      </c>
    </row>
    <row r="1432" spans="1:14" s="384" customFormat="1" ht="40.5" outlineLevel="1" collapsed="1">
      <c r="A1432" s="489" t="s">
        <v>1261</v>
      </c>
      <c r="B1432" s="490" t="s">
        <v>52</v>
      </c>
      <c r="C1432" s="490" t="s">
        <v>1960</v>
      </c>
      <c r="D1432" s="398" t="s">
        <v>1830</v>
      </c>
      <c r="E1432" s="490" t="s">
        <v>1972</v>
      </c>
      <c r="F1432" s="385" t="s">
        <v>303</v>
      </c>
      <c r="G1432" s="456"/>
      <c r="H1432" s="401" t="s">
        <v>1973</v>
      </c>
      <c r="I1432" s="385" t="str">
        <f>CONCATENATE(I1433," ",N1433,M1433," ",I1434," ",N1434,M1434," "," ",)</f>
        <v xml:space="preserve">Демонтаж муфт 1шт. Монтаж муфт 1шт.  </v>
      </c>
      <c r="J1432" s="489" t="s">
        <v>365</v>
      </c>
      <c r="K1432" s="450">
        <v>44378</v>
      </c>
      <c r="L1432" s="450">
        <v>44408</v>
      </c>
      <c r="M1432" s="490"/>
      <c r="N1432" s="490"/>
    </row>
    <row r="1433" spans="1:14" hidden="1" outlineLevel="2">
      <c r="A1433" s="438"/>
      <c r="B1433" s="385" t="s">
        <v>52</v>
      </c>
      <c r="C1433" s="452" t="s">
        <v>1960</v>
      </c>
      <c r="D1433" s="385" t="s">
        <v>1830</v>
      </c>
      <c r="E1433" s="385"/>
      <c r="F1433" s="400"/>
      <c r="G1433" s="385"/>
      <c r="H1433" s="401" t="s">
        <v>1964</v>
      </c>
      <c r="I1433" s="402" t="s">
        <v>200</v>
      </c>
      <c r="J1433" s="489" t="s">
        <v>365</v>
      </c>
      <c r="K1433" s="450"/>
      <c r="L1433" s="450"/>
      <c r="M1433" s="490" t="s">
        <v>37</v>
      </c>
      <c r="N1433" s="490">
        <v>1</v>
      </c>
    </row>
    <row r="1434" spans="1:14" hidden="1" outlineLevel="2">
      <c r="A1434" s="453"/>
      <c r="B1434" s="385" t="s">
        <v>52</v>
      </c>
      <c r="C1434" s="452" t="s">
        <v>1960</v>
      </c>
      <c r="D1434" s="385" t="s">
        <v>1830</v>
      </c>
      <c r="E1434" s="385"/>
      <c r="F1434" s="400"/>
      <c r="G1434" s="385"/>
      <c r="H1434" s="401" t="s">
        <v>1965</v>
      </c>
      <c r="I1434" s="402" t="s">
        <v>198</v>
      </c>
      <c r="J1434" s="489" t="s">
        <v>365</v>
      </c>
      <c r="K1434" s="450"/>
      <c r="L1434" s="450"/>
      <c r="M1434" s="490" t="s">
        <v>37</v>
      </c>
      <c r="N1434" s="490">
        <v>1</v>
      </c>
    </row>
    <row r="1435" spans="1:14" s="384" customFormat="1" ht="40.5" outlineLevel="1" collapsed="1">
      <c r="A1435" s="489" t="s">
        <v>1751</v>
      </c>
      <c r="B1435" s="490" t="s">
        <v>52</v>
      </c>
      <c r="C1435" s="490" t="s">
        <v>1960</v>
      </c>
      <c r="D1435" s="398" t="s">
        <v>1830</v>
      </c>
      <c r="E1435" s="490" t="s">
        <v>1974</v>
      </c>
      <c r="F1435" s="385" t="s">
        <v>303</v>
      </c>
      <c r="G1435" s="456"/>
      <c r="H1435" s="401" t="s">
        <v>1975</v>
      </c>
      <c r="I1435" s="385" t="str">
        <f>CONCATENATE(I1436," ",N1436,M1436," ",I1437," ",N1437,M1437," "," ",)</f>
        <v xml:space="preserve">Демонтаж муфт 1шт. Монтаж муфт 1шт.  </v>
      </c>
      <c r="J1435" s="489" t="s">
        <v>365</v>
      </c>
      <c r="K1435" s="450">
        <v>44378</v>
      </c>
      <c r="L1435" s="450">
        <v>44408</v>
      </c>
      <c r="M1435" s="490"/>
      <c r="N1435" s="490"/>
    </row>
    <row r="1436" spans="1:14" hidden="1" outlineLevel="2">
      <c r="A1436" s="438"/>
      <c r="B1436" s="385" t="s">
        <v>52</v>
      </c>
      <c r="C1436" s="452" t="s">
        <v>1960</v>
      </c>
      <c r="D1436" s="385" t="s">
        <v>1830</v>
      </c>
      <c r="E1436" s="385"/>
      <c r="F1436" s="400"/>
      <c r="G1436" s="385"/>
      <c r="H1436" s="401" t="s">
        <v>1964</v>
      </c>
      <c r="I1436" s="402" t="s">
        <v>200</v>
      </c>
      <c r="J1436" s="489" t="s">
        <v>365</v>
      </c>
      <c r="K1436" s="450"/>
      <c r="L1436" s="450"/>
      <c r="M1436" s="490" t="s">
        <v>37</v>
      </c>
      <c r="N1436" s="490">
        <v>1</v>
      </c>
    </row>
    <row r="1437" spans="1:14" hidden="1" outlineLevel="2">
      <c r="A1437" s="453"/>
      <c r="B1437" s="385" t="s">
        <v>52</v>
      </c>
      <c r="C1437" s="452" t="s">
        <v>1960</v>
      </c>
      <c r="D1437" s="385" t="s">
        <v>1830</v>
      </c>
      <c r="E1437" s="385"/>
      <c r="F1437" s="400"/>
      <c r="G1437" s="385"/>
      <c r="H1437" s="401" t="s">
        <v>1965</v>
      </c>
      <c r="I1437" s="402" t="s">
        <v>198</v>
      </c>
      <c r="J1437" s="489" t="s">
        <v>365</v>
      </c>
      <c r="K1437" s="450"/>
      <c r="L1437" s="450"/>
      <c r="M1437" s="490" t="s">
        <v>37</v>
      </c>
      <c r="N1437" s="490">
        <v>1</v>
      </c>
    </row>
    <row r="1438" spans="1:14" s="384" customFormat="1" ht="40.5" outlineLevel="1" collapsed="1">
      <c r="A1438" s="489" t="s">
        <v>1262</v>
      </c>
      <c r="B1438" s="490" t="s">
        <v>52</v>
      </c>
      <c r="C1438" s="490" t="s">
        <v>1976</v>
      </c>
      <c r="D1438" s="398" t="s">
        <v>1830</v>
      </c>
      <c r="E1438" s="490" t="s">
        <v>1977</v>
      </c>
      <c r="F1438" s="385" t="s">
        <v>1215</v>
      </c>
      <c r="G1438" s="385" t="s">
        <v>1889</v>
      </c>
      <c r="H1438" s="401" t="s">
        <v>1978</v>
      </c>
      <c r="I1438" s="385" t="str">
        <f>CONCATENATE(I1439," ",N1439,M1439," ",I1440," ",N1440,M1440," "," ",)</f>
        <v xml:space="preserve">Ручная расчистка 2га Замена  поврежденных изоляторов 4шт.  </v>
      </c>
      <c r="J1438" s="489" t="s">
        <v>365</v>
      </c>
      <c r="K1438" s="450">
        <v>44287</v>
      </c>
      <c r="L1438" s="450">
        <v>44377</v>
      </c>
      <c r="M1438" s="490"/>
      <c r="N1438" s="490"/>
    </row>
    <row r="1439" spans="1:14" hidden="1" outlineLevel="2">
      <c r="A1439" s="438"/>
      <c r="B1439" s="385" t="s">
        <v>52</v>
      </c>
      <c r="C1439" s="452" t="s">
        <v>1976</v>
      </c>
      <c r="D1439" s="385" t="s">
        <v>1830</v>
      </c>
      <c r="E1439" s="385"/>
      <c r="F1439" s="451" t="s">
        <v>1211</v>
      </c>
      <c r="G1439" s="459" t="s">
        <v>1889</v>
      </c>
      <c r="H1439" s="401" t="s">
        <v>1979</v>
      </c>
      <c r="I1439" s="402" t="s">
        <v>162</v>
      </c>
      <c r="J1439" s="489" t="s">
        <v>365</v>
      </c>
      <c r="K1439" s="450"/>
      <c r="L1439" s="450"/>
      <c r="M1439" s="490" t="s">
        <v>117</v>
      </c>
      <c r="N1439" s="490">
        <v>2</v>
      </c>
    </row>
    <row r="1440" spans="1:14" ht="40.5" hidden="1" outlineLevel="2">
      <c r="A1440" s="453"/>
      <c r="B1440" s="385" t="s">
        <v>52</v>
      </c>
      <c r="C1440" s="452" t="s">
        <v>1976</v>
      </c>
      <c r="D1440" s="385" t="s">
        <v>1830</v>
      </c>
      <c r="E1440" s="385"/>
      <c r="F1440" s="400"/>
      <c r="G1440" s="385" t="s">
        <v>1980</v>
      </c>
      <c r="H1440" s="401" t="s">
        <v>1981</v>
      </c>
      <c r="I1440" s="402" t="s">
        <v>1982</v>
      </c>
      <c r="J1440" s="489" t="s">
        <v>365</v>
      </c>
      <c r="K1440" s="450"/>
      <c r="L1440" s="450"/>
      <c r="M1440" s="490" t="s">
        <v>37</v>
      </c>
      <c r="N1440" s="490">
        <v>4</v>
      </c>
    </row>
    <row r="1441" spans="1:14" s="384" customFormat="1" ht="40.5" outlineLevel="1" collapsed="1">
      <c r="A1441" s="489" t="s">
        <v>1263</v>
      </c>
      <c r="B1441" s="490" t="s">
        <v>52</v>
      </c>
      <c r="C1441" s="490" t="s">
        <v>1976</v>
      </c>
      <c r="D1441" s="398" t="s">
        <v>1830</v>
      </c>
      <c r="E1441" s="490" t="s">
        <v>1977</v>
      </c>
      <c r="F1441" s="385" t="s">
        <v>1215</v>
      </c>
      <c r="G1441" s="385" t="s">
        <v>1889</v>
      </c>
      <c r="H1441" s="401" t="s">
        <v>1983</v>
      </c>
      <c r="I1441" s="385" t="str">
        <f>CONCATENATE(I1442," ",N1442,M1442," ",I1443," ",N1443,M1443," "," ",I1444," ",N1444,M1444," ",)</f>
        <v xml:space="preserve">Ручная расчистка 3,6га Замена  поврежденных изоляторов 8шт.  Сварка шлейфов 9шт </v>
      </c>
      <c r="J1441" s="489" t="s">
        <v>365</v>
      </c>
      <c r="K1441" s="450">
        <v>44287</v>
      </c>
      <c r="L1441" s="450">
        <v>44408</v>
      </c>
      <c r="M1441" s="490"/>
      <c r="N1441" s="490"/>
    </row>
    <row r="1442" spans="1:14" hidden="1" outlineLevel="2">
      <c r="A1442" s="438"/>
      <c r="B1442" s="385" t="s">
        <v>52</v>
      </c>
      <c r="C1442" s="452" t="s">
        <v>1976</v>
      </c>
      <c r="D1442" s="385" t="s">
        <v>1830</v>
      </c>
      <c r="E1442" s="385"/>
      <c r="F1442" s="451" t="s">
        <v>1211</v>
      </c>
      <c r="G1442" s="459" t="s">
        <v>1889</v>
      </c>
      <c r="H1442" s="401" t="s">
        <v>1984</v>
      </c>
      <c r="I1442" s="402" t="s">
        <v>162</v>
      </c>
      <c r="J1442" s="489" t="s">
        <v>365</v>
      </c>
      <c r="K1442" s="450"/>
      <c r="L1442" s="450"/>
      <c r="M1442" s="490" t="s">
        <v>117</v>
      </c>
      <c r="N1442" s="490">
        <v>3.6</v>
      </c>
    </row>
    <row r="1443" spans="1:14" ht="40.5" hidden="1" outlineLevel="2">
      <c r="A1443" s="453"/>
      <c r="B1443" s="385" t="s">
        <v>52</v>
      </c>
      <c r="C1443" s="452" t="s">
        <v>1976</v>
      </c>
      <c r="D1443" s="385" t="s">
        <v>1830</v>
      </c>
      <c r="E1443" s="385"/>
      <c r="F1443" s="400"/>
      <c r="G1443" s="385" t="s">
        <v>1980</v>
      </c>
      <c r="H1443" s="401" t="s">
        <v>1985</v>
      </c>
      <c r="I1443" s="402" t="s">
        <v>1982</v>
      </c>
      <c r="J1443" s="489" t="s">
        <v>365</v>
      </c>
      <c r="K1443" s="450"/>
      <c r="L1443" s="450"/>
      <c r="M1443" s="490" t="s">
        <v>37</v>
      </c>
      <c r="N1443" s="490">
        <v>8</v>
      </c>
    </row>
    <row r="1444" spans="1:14" ht="40.5" hidden="1" outlineLevel="2">
      <c r="A1444" s="453"/>
      <c r="B1444" s="385" t="s">
        <v>52</v>
      </c>
      <c r="C1444" s="452" t="s">
        <v>1976</v>
      </c>
      <c r="D1444" s="385" t="s">
        <v>1830</v>
      </c>
      <c r="E1444" s="385"/>
      <c r="F1444" s="400"/>
      <c r="G1444" s="385" t="s">
        <v>1986</v>
      </c>
      <c r="H1444" s="401" t="s">
        <v>1987</v>
      </c>
      <c r="I1444" s="402" t="s">
        <v>1988</v>
      </c>
      <c r="J1444" s="489" t="s">
        <v>365</v>
      </c>
      <c r="K1444" s="450"/>
      <c r="L1444" s="450"/>
      <c r="M1444" s="490" t="s">
        <v>813</v>
      </c>
      <c r="N1444" s="490">
        <v>9</v>
      </c>
    </row>
    <row r="1445" spans="1:14" s="384" customFormat="1" ht="40.5" outlineLevel="1" collapsed="1">
      <c r="A1445" s="489" t="s">
        <v>1264</v>
      </c>
      <c r="B1445" s="490" t="s">
        <v>52</v>
      </c>
      <c r="C1445" s="490" t="s">
        <v>1989</v>
      </c>
      <c r="D1445" s="398" t="s">
        <v>1830</v>
      </c>
      <c r="E1445" s="490" t="s">
        <v>1990</v>
      </c>
      <c r="F1445" s="385" t="s">
        <v>1211</v>
      </c>
      <c r="G1445" s="459" t="s">
        <v>1889</v>
      </c>
      <c r="H1445" s="401" t="s">
        <v>1991</v>
      </c>
      <c r="I1445" s="385" t="str">
        <f>CONCATENATE(I1446," ",N1446,M1446," ",)</f>
        <v xml:space="preserve">Ручная расчистка 2,8га </v>
      </c>
      <c r="J1445" s="489" t="s">
        <v>365</v>
      </c>
      <c r="K1445" s="450">
        <v>44228</v>
      </c>
      <c r="L1445" s="450">
        <v>44286</v>
      </c>
      <c r="M1445" s="490"/>
      <c r="N1445" s="490"/>
    </row>
    <row r="1446" spans="1:14" hidden="1" outlineLevel="2">
      <c r="A1446" s="438"/>
      <c r="B1446" s="385" t="s">
        <v>52</v>
      </c>
      <c r="C1446" s="452" t="s">
        <v>1989</v>
      </c>
      <c r="D1446" s="385" t="s">
        <v>1830</v>
      </c>
      <c r="E1446" s="385"/>
      <c r="F1446" s="451" t="s">
        <v>1211</v>
      </c>
      <c r="G1446" s="459" t="s">
        <v>1889</v>
      </c>
      <c r="H1446" s="401" t="s">
        <v>1992</v>
      </c>
      <c r="I1446" s="402" t="s">
        <v>162</v>
      </c>
      <c r="J1446" s="489" t="s">
        <v>365</v>
      </c>
      <c r="K1446" s="450"/>
      <c r="L1446" s="450"/>
      <c r="M1446" s="490" t="s">
        <v>117</v>
      </c>
      <c r="N1446" s="490">
        <v>2.8</v>
      </c>
    </row>
    <row r="1447" spans="1:14" s="384" customFormat="1" ht="121.5" outlineLevel="1" collapsed="1">
      <c r="A1447" s="489" t="s">
        <v>1265</v>
      </c>
      <c r="B1447" s="490" t="s">
        <v>288</v>
      </c>
      <c r="C1447" s="398" t="s">
        <v>1836</v>
      </c>
      <c r="D1447" s="398" t="s">
        <v>1830</v>
      </c>
      <c r="E1447" s="398" t="s">
        <v>1993</v>
      </c>
      <c r="F1447" s="385" t="s">
        <v>1994</v>
      </c>
      <c r="G1447" s="459" t="s">
        <v>1895</v>
      </c>
      <c r="H1447" s="401" t="s">
        <v>1995</v>
      </c>
      <c r="I1447" s="385" t="str">
        <f>CONCATENATE(I1448," ",N1448,M1448," ",I1449," ",N1449,M1449," "," ",I1450," ",N1450,M1450," ",I1451," ",N1451,M1451," ",I1452," ",N1452,M1452," ",I1453," ",N1453,M1453," ",I1454," ",N1454,M1454," ",)</f>
        <v xml:space="preserve">Ручная расчистка  0,51Га Замена дефектных изоляторов  3шт.  Обрезка крон деревьев  1шт. Валка деревьев  9шт. Установка фундамента для устройства оттяжки ж/б опоры  2шт. Монтаж грозотроса 0,03км Присоединение грозотроса к опоре 2оп </v>
      </c>
      <c r="J1447" s="385" t="s">
        <v>365</v>
      </c>
      <c r="K1447" s="467">
        <v>44256</v>
      </c>
      <c r="L1447" s="470">
        <v>44530</v>
      </c>
      <c r="M1447" s="490"/>
      <c r="N1447" s="490"/>
    </row>
    <row r="1448" spans="1:14" ht="40.5" hidden="1" outlineLevel="2">
      <c r="A1448" s="489"/>
      <c r="B1448" s="385" t="s">
        <v>52</v>
      </c>
      <c r="C1448" s="452" t="s">
        <v>1836</v>
      </c>
      <c r="D1448" s="385" t="s">
        <v>1830</v>
      </c>
      <c r="E1448" s="398"/>
      <c r="F1448" s="451" t="s">
        <v>1211</v>
      </c>
      <c r="G1448" s="459" t="s">
        <v>1889</v>
      </c>
      <c r="H1448" s="401" t="s">
        <v>1996</v>
      </c>
      <c r="I1448" s="469" t="s">
        <v>409</v>
      </c>
      <c r="J1448" s="385"/>
      <c r="K1448" s="467"/>
      <c r="L1448" s="467"/>
      <c r="M1448" s="490" t="s">
        <v>1997</v>
      </c>
      <c r="N1448" s="490">
        <v>0.51</v>
      </c>
    </row>
    <row r="1449" spans="1:14" hidden="1" outlineLevel="2">
      <c r="A1449" s="489"/>
      <c r="B1449" s="385" t="s">
        <v>52</v>
      </c>
      <c r="C1449" s="452" t="s">
        <v>1836</v>
      </c>
      <c r="D1449" s="385" t="s">
        <v>1830</v>
      </c>
      <c r="E1449" s="398"/>
      <c r="F1449" s="398"/>
      <c r="G1449" s="385"/>
      <c r="H1449" s="401" t="s">
        <v>1998</v>
      </c>
      <c r="I1449" s="469" t="s">
        <v>1910</v>
      </c>
      <c r="J1449" s="385"/>
      <c r="K1449" s="467"/>
      <c r="L1449" s="467"/>
      <c r="M1449" s="490" t="s">
        <v>37</v>
      </c>
      <c r="N1449" s="490">
        <v>3</v>
      </c>
    </row>
    <row r="1450" spans="1:14" hidden="1" outlineLevel="2">
      <c r="A1450" s="489"/>
      <c r="B1450" s="385" t="s">
        <v>52</v>
      </c>
      <c r="C1450" s="452" t="s">
        <v>1836</v>
      </c>
      <c r="D1450" s="385" t="s">
        <v>1830</v>
      </c>
      <c r="E1450" s="398"/>
      <c r="F1450" s="398"/>
      <c r="G1450" s="385"/>
      <c r="H1450" s="401" t="s">
        <v>1999</v>
      </c>
      <c r="I1450" s="469" t="s">
        <v>2000</v>
      </c>
      <c r="J1450" s="385"/>
      <c r="K1450" s="467"/>
      <c r="L1450" s="467"/>
      <c r="M1450" s="490" t="s">
        <v>37</v>
      </c>
      <c r="N1450" s="490">
        <v>1</v>
      </c>
    </row>
    <row r="1451" spans="1:14" hidden="1" outlineLevel="2">
      <c r="A1451" s="403"/>
      <c r="B1451" s="385" t="s">
        <v>52</v>
      </c>
      <c r="C1451" s="452" t="s">
        <v>1836</v>
      </c>
      <c r="D1451" s="385" t="s">
        <v>1830</v>
      </c>
      <c r="E1451" s="490"/>
      <c r="F1451" s="385"/>
      <c r="G1451" s="385"/>
      <c r="H1451" s="401" t="s">
        <v>2001</v>
      </c>
      <c r="I1451" s="469" t="s">
        <v>2002</v>
      </c>
      <c r="J1451" s="489"/>
      <c r="K1451" s="450"/>
      <c r="L1451" s="450"/>
      <c r="M1451" s="490" t="s">
        <v>37</v>
      </c>
      <c r="N1451" s="490">
        <v>9</v>
      </c>
    </row>
    <row r="1452" spans="1:14" ht="40.5" hidden="1" outlineLevel="2">
      <c r="A1452" s="403"/>
      <c r="B1452" s="385" t="s">
        <v>52</v>
      </c>
      <c r="C1452" s="452" t="s">
        <v>1836</v>
      </c>
      <c r="D1452" s="385" t="s">
        <v>1830</v>
      </c>
      <c r="E1452" s="490"/>
      <c r="F1452" s="385"/>
      <c r="G1452" s="385"/>
      <c r="H1452" s="401" t="s">
        <v>2003</v>
      </c>
      <c r="I1452" s="469" t="s">
        <v>2004</v>
      </c>
      <c r="J1452" s="489"/>
      <c r="K1452" s="450"/>
      <c r="L1452" s="450"/>
      <c r="M1452" s="490" t="s">
        <v>37</v>
      </c>
      <c r="N1452" s="490">
        <v>2</v>
      </c>
    </row>
    <row r="1453" spans="1:14" hidden="1" outlineLevel="2">
      <c r="A1453" s="403"/>
      <c r="B1453" s="385" t="s">
        <v>52</v>
      </c>
      <c r="C1453" s="452" t="s">
        <v>1836</v>
      </c>
      <c r="D1453" s="385" t="s">
        <v>1830</v>
      </c>
      <c r="E1453" s="490"/>
      <c r="F1453" s="385"/>
      <c r="G1453" s="385"/>
      <c r="H1453" s="401" t="s">
        <v>2005</v>
      </c>
      <c r="I1453" s="469" t="s">
        <v>185</v>
      </c>
      <c r="J1453" s="489"/>
      <c r="K1453" s="450"/>
      <c r="L1453" s="450"/>
      <c r="M1453" s="490" t="s">
        <v>308</v>
      </c>
      <c r="N1453" s="490">
        <v>0.03</v>
      </c>
    </row>
    <row r="1454" spans="1:14" hidden="1" outlineLevel="2">
      <c r="A1454" s="403"/>
      <c r="B1454" s="385" t="s">
        <v>52</v>
      </c>
      <c r="C1454" s="452" t="s">
        <v>1836</v>
      </c>
      <c r="D1454" s="385" t="s">
        <v>1830</v>
      </c>
      <c r="E1454" s="490"/>
      <c r="F1454" s="385"/>
      <c r="G1454" s="385"/>
      <c r="H1454" s="401" t="s">
        <v>2006</v>
      </c>
      <c r="I1454" s="469" t="s">
        <v>1920</v>
      </c>
      <c r="J1454" s="489"/>
      <c r="K1454" s="450"/>
      <c r="L1454" s="450"/>
      <c r="M1454" s="490" t="s">
        <v>2007</v>
      </c>
      <c r="N1454" s="490">
        <v>2</v>
      </c>
    </row>
    <row r="1455" spans="1:14" s="384" customFormat="1" ht="40.5" outlineLevel="1" collapsed="1">
      <c r="A1455" s="412" t="s">
        <v>2008</v>
      </c>
      <c r="B1455" s="490" t="s">
        <v>288</v>
      </c>
      <c r="C1455" s="398" t="s">
        <v>1836</v>
      </c>
      <c r="D1455" s="398" t="s">
        <v>1830</v>
      </c>
      <c r="E1455" s="398" t="s">
        <v>1993</v>
      </c>
      <c r="F1455" s="385" t="s">
        <v>303</v>
      </c>
      <c r="G1455" s="385"/>
      <c r="H1455" s="401" t="s">
        <v>2009</v>
      </c>
      <c r="I1455" s="385" t="str">
        <f>CONCATENATE(I1456," ",N1456,M1456," ",)</f>
        <v xml:space="preserve">Замена дефектных изоляторов 12шт. </v>
      </c>
      <c r="J1455" s="385" t="s">
        <v>365</v>
      </c>
      <c r="K1455" s="467">
        <v>44256</v>
      </c>
      <c r="L1455" s="470">
        <v>44530</v>
      </c>
      <c r="M1455" s="490"/>
      <c r="N1455" s="490"/>
    </row>
    <row r="1456" spans="1:14" hidden="1" outlineLevel="2">
      <c r="A1456" s="489"/>
      <c r="B1456" s="385" t="s">
        <v>52</v>
      </c>
      <c r="C1456" s="452" t="s">
        <v>1836</v>
      </c>
      <c r="D1456" s="385" t="s">
        <v>1830</v>
      </c>
      <c r="E1456" s="398"/>
      <c r="F1456" s="385"/>
      <c r="G1456" s="385"/>
      <c r="H1456" s="401" t="s">
        <v>2010</v>
      </c>
      <c r="I1456" s="469" t="s">
        <v>1892</v>
      </c>
      <c r="J1456" s="385"/>
      <c r="K1456" s="467"/>
      <c r="L1456" s="467"/>
      <c r="M1456" s="490" t="s">
        <v>37</v>
      </c>
      <c r="N1456" s="490">
        <v>12</v>
      </c>
    </row>
    <row r="1457" spans="1:14" s="384" customFormat="1" ht="141.75" outlineLevel="1" collapsed="1">
      <c r="A1457" s="489" t="s">
        <v>2011</v>
      </c>
      <c r="B1457" s="490" t="s">
        <v>288</v>
      </c>
      <c r="C1457" s="398" t="s">
        <v>1836</v>
      </c>
      <c r="D1457" s="398" t="s">
        <v>1830</v>
      </c>
      <c r="E1457" s="398" t="s">
        <v>2012</v>
      </c>
      <c r="F1457" s="385" t="s">
        <v>2013</v>
      </c>
      <c r="G1457" s="385" t="s">
        <v>2014</v>
      </c>
      <c r="H1457" s="401" t="s">
        <v>2015</v>
      </c>
      <c r="I1457" s="385" t="str">
        <f>CONCATENATE(I1458," ",N1458,M1458," ",I1459," ",N1459,M1459," "," ",I1460," ",N1460,M1460," ",I1461," ",N1461,M1461," ",I1462," ",N1462,M1462," ",I1463," ",N1463,M1463," ",I1464," ",N1464,M1464," ",)</f>
        <v xml:space="preserve">Ручная расчистка  2,03Га Замена дефектных изоляторов  4шт.  Обрезка крон деревьев  20шт. Установка поддерж.зажима на провод 2оп Ремонт провода (бандаж) 2шт Монтаж заземляющего устройства опоры 1оп Выправка опор  2оп </v>
      </c>
      <c r="J1457" s="385" t="s">
        <v>365</v>
      </c>
      <c r="K1457" s="467">
        <v>44256</v>
      </c>
      <c r="L1457" s="470">
        <v>44530</v>
      </c>
      <c r="M1457" s="490"/>
      <c r="N1457" s="490"/>
    </row>
    <row r="1458" spans="1:14" ht="60.75" hidden="1" outlineLevel="2">
      <c r="A1458" s="489"/>
      <c r="B1458" s="385" t="s">
        <v>52</v>
      </c>
      <c r="C1458" s="452" t="s">
        <v>1836</v>
      </c>
      <c r="D1458" s="385" t="s">
        <v>1830</v>
      </c>
      <c r="E1458" s="398"/>
      <c r="F1458" s="451" t="s">
        <v>1211</v>
      </c>
      <c r="G1458" s="459" t="s">
        <v>1889</v>
      </c>
      <c r="H1458" s="401" t="s">
        <v>2016</v>
      </c>
      <c r="I1458" s="469" t="s">
        <v>409</v>
      </c>
      <c r="J1458" s="385"/>
      <c r="K1458" s="467"/>
      <c r="L1458" s="467"/>
      <c r="M1458" s="490" t="s">
        <v>1997</v>
      </c>
      <c r="N1458" s="490">
        <v>2.0299999999999998</v>
      </c>
    </row>
    <row r="1459" spans="1:14" hidden="1" outlineLevel="2">
      <c r="A1459" s="489"/>
      <c r="B1459" s="385" t="s">
        <v>52</v>
      </c>
      <c r="C1459" s="452" t="s">
        <v>1836</v>
      </c>
      <c r="D1459" s="385" t="s">
        <v>1830</v>
      </c>
      <c r="E1459" s="398"/>
      <c r="F1459" s="398"/>
      <c r="G1459" s="385"/>
      <c r="H1459" s="401" t="s">
        <v>2017</v>
      </c>
      <c r="I1459" s="469" t="s">
        <v>1910</v>
      </c>
      <c r="J1459" s="385"/>
      <c r="K1459" s="467"/>
      <c r="L1459" s="467"/>
      <c r="M1459" s="490" t="s">
        <v>37</v>
      </c>
      <c r="N1459" s="490">
        <v>4</v>
      </c>
    </row>
    <row r="1460" spans="1:14" ht="40.5" hidden="1" outlineLevel="2">
      <c r="A1460" s="489"/>
      <c r="B1460" s="385" t="s">
        <v>52</v>
      </c>
      <c r="C1460" s="452" t="s">
        <v>1836</v>
      </c>
      <c r="D1460" s="385" t="s">
        <v>1830</v>
      </c>
      <c r="E1460" s="398"/>
      <c r="F1460" s="398"/>
      <c r="G1460" s="385"/>
      <c r="H1460" s="401" t="s">
        <v>2018</v>
      </c>
      <c r="I1460" s="469" t="s">
        <v>2000</v>
      </c>
      <c r="J1460" s="385"/>
      <c r="K1460" s="467"/>
      <c r="L1460" s="467"/>
      <c r="M1460" s="490" t="s">
        <v>37</v>
      </c>
      <c r="N1460" s="490">
        <v>20</v>
      </c>
    </row>
    <row r="1461" spans="1:14" hidden="1" outlineLevel="2">
      <c r="A1461" s="403"/>
      <c r="B1461" s="385" t="s">
        <v>52</v>
      </c>
      <c r="C1461" s="452" t="s">
        <v>1836</v>
      </c>
      <c r="D1461" s="385" t="s">
        <v>1830</v>
      </c>
      <c r="E1461" s="490"/>
      <c r="F1461" s="385"/>
      <c r="G1461" s="385"/>
      <c r="H1461" s="401" t="s">
        <v>2019</v>
      </c>
      <c r="I1461" s="469" t="s">
        <v>2020</v>
      </c>
      <c r="J1461" s="489"/>
      <c r="K1461" s="450"/>
      <c r="L1461" s="450"/>
      <c r="M1461" s="490" t="s">
        <v>2007</v>
      </c>
      <c r="N1461" s="490">
        <v>2</v>
      </c>
    </row>
    <row r="1462" spans="1:14" hidden="1" outlineLevel="2">
      <c r="A1462" s="403"/>
      <c r="B1462" s="385" t="s">
        <v>52</v>
      </c>
      <c r="C1462" s="452" t="s">
        <v>1836</v>
      </c>
      <c r="D1462" s="385" t="s">
        <v>1830</v>
      </c>
      <c r="E1462" s="490"/>
      <c r="F1462" s="385"/>
      <c r="G1462" s="385"/>
      <c r="H1462" s="401" t="s">
        <v>2021</v>
      </c>
      <c r="I1462" s="469" t="s">
        <v>2022</v>
      </c>
      <c r="J1462" s="489"/>
      <c r="K1462" s="450"/>
      <c r="L1462" s="450"/>
      <c r="M1462" s="490" t="s">
        <v>813</v>
      </c>
      <c r="N1462" s="490">
        <v>2</v>
      </c>
    </row>
    <row r="1463" spans="1:14" hidden="1" outlineLevel="2">
      <c r="A1463" s="403"/>
      <c r="B1463" s="385" t="s">
        <v>52</v>
      </c>
      <c r="C1463" s="452" t="s">
        <v>1836</v>
      </c>
      <c r="D1463" s="385" t="s">
        <v>1830</v>
      </c>
      <c r="E1463" s="490"/>
      <c r="F1463" s="385"/>
      <c r="G1463" s="385"/>
      <c r="H1463" s="401" t="s">
        <v>2023</v>
      </c>
      <c r="I1463" s="469" t="s">
        <v>2024</v>
      </c>
      <c r="J1463" s="489"/>
      <c r="K1463" s="450"/>
      <c r="L1463" s="450"/>
      <c r="M1463" s="490" t="s">
        <v>2007</v>
      </c>
      <c r="N1463" s="490">
        <v>1</v>
      </c>
    </row>
    <row r="1464" spans="1:14" hidden="1" outlineLevel="2">
      <c r="A1464" s="403"/>
      <c r="B1464" s="385" t="s">
        <v>52</v>
      </c>
      <c r="C1464" s="452" t="s">
        <v>1836</v>
      </c>
      <c r="D1464" s="385" t="s">
        <v>1830</v>
      </c>
      <c r="E1464" s="490"/>
      <c r="F1464" s="385"/>
      <c r="G1464" s="385"/>
      <c r="H1464" s="401" t="s">
        <v>2025</v>
      </c>
      <c r="I1464" s="469" t="s">
        <v>2026</v>
      </c>
      <c r="J1464" s="489"/>
      <c r="K1464" s="450"/>
      <c r="L1464" s="450"/>
      <c r="M1464" s="490" t="s">
        <v>2007</v>
      </c>
      <c r="N1464" s="490">
        <v>2</v>
      </c>
    </row>
    <row r="1465" spans="1:14" s="384" customFormat="1" ht="40.5" outlineLevel="1" collapsed="1">
      <c r="A1465" s="489" t="s">
        <v>2027</v>
      </c>
      <c r="B1465" s="490" t="s">
        <v>288</v>
      </c>
      <c r="C1465" s="398" t="s">
        <v>1836</v>
      </c>
      <c r="D1465" s="398" t="s">
        <v>1830</v>
      </c>
      <c r="E1465" s="398" t="s">
        <v>3484</v>
      </c>
      <c r="F1465" s="385" t="s">
        <v>2028</v>
      </c>
      <c r="G1465" s="385" t="s">
        <v>1889</v>
      </c>
      <c r="H1465" s="401" t="s">
        <v>2029</v>
      </c>
      <c r="I1465" s="385" t="str">
        <f>CONCATENATE(I1466," ",N1466,M1466," ",I1467," ",N1467,M1467," "," ",I1468," ",N1468,M1468," ",)</f>
        <v xml:space="preserve">Ручная расчистка  2,3Га Замена дефектных изоляторов  12шт.  Обрезка крон деревьев  2шт. </v>
      </c>
      <c r="J1465" s="385" t="s">
        <v>365</v>
      </c>
      <c r="K1465" s="467">
        <v>44256</v>
      </c>
      <c r="L1465" s="470">
        <v>44530</v>
      </c>
      <c r="M1465" s="490"/>
      <c r="N1465" s="490"/>
    </row>
    <row r="1466" spans="1:14" hidden="1" outlineLevel="2">
      <c r="A1466" s="489"/>
      <c r="B1466" s="385" t="s">
        <v>52</v>
      </c>
      <c r="C1466" s="452" t="s">
        <v>1836</v>
      </c>
      <c r="D1466" s="385" t="s">
        <v>1830</v>
      </c>
      <c r="E1466" s="398"/>
      <c r="F1466" s="451" t="s">
        <v>1211</v>
      </c>
      <c r="G1466" s="459" t="s">
        <v>1889</v>
      </c>
      <c r="H1466" s="401" t="s">
        <v>3744</v>
      </c>
      <c r="I1466" s="469" t="s">
        <v>409</v>
      </c>
      <c r="J1466" s="385"/>
      <c r="K1466" s="467"/>
      <c r="L1466" s="467"/>
      <c r="M1466" s="490" t="s">
        <v>1997</v>
      </c>
      <c r="N1466" s="490">
        <v>2.2999999999999998</v>
      </c>
    </row>
    <row r="1467" spans="1:14" ht="40.5" hidden="1" outlineLevel="2">
      <c r="A1467" s="489"/>
      <c r="B1467" s="385" t="s">
        <v>52</v>
      </c>
      <c r="C1467" s="452" t="s">
        <v>1836</v>
      </c>
      <c r="D1467" s="385" t="s">
        <v>1830</v>
      </c>
      <c r="E1467" s="398"/>
      <c r="F1467" s="398"/>
      <c r="G1467" s="385"/>
      <c r="H1467" s="401" t="s">
        <v>2030</v>
      </c>
      <c r="I1467" s="469" t="s">
        <v>1910</v>
      </c>
      <c r="J1467" s="385"/>
      <c r="K1467" s="467"/>
      <c r="L1467" s="467"/>
      <c r="M1467" s="490" t="s">
        <v>37</v>
      </c>
      <c r="N1467" s="490">
        <v>12</v>
      </c>
    </row>
    <row r="1468" spans="1:14" hidden="1" outlineLevel="2">
      <c r="A1468" s="489"/>
      <c r="B1468" s="385" t="s">
        <v>52</v>
      </c>
      <c r="C1468" s="452" t="s">
        <v>1836</v>
      </c>
      <c r="D1468" s="385" t="s">
        <v>1830</v>
      </c>
      <c r="E1468" s="398"/>
      <c r="F1468" s="398"/>
      <c r="G1468" s="385"/>
      <c r="H1468" s="401" t="s">
        <v>1909</v>
      </c>
      <c r="I1468" s="469" t="s">
        <v>2000</v>
      </c>
      <c r="J1468" s="385"/>
      <c r="K1468" s="467"/>
      <c r="L1468" s="467"/>
      <c r="M1468" s="490" t="s">
        <v>37</v>
      </c>
      <c r="N1468" s="490">
        <v>2</v>
      </c>
    </row>
    <row r="1469" spans="1:14" s="384" customFormat="1" ht="141.75" outlineLevel="1" collapsed="1">
      <c r="A1469" s="412" t="s">
        <v>2031</v>
      </c>
      <c r="B1469" s="490" t="s">
        <v>288</v>
      </c>
      <c r="C1469" s="398" t="s">
        <v>1836</v>
      </c>
      <c r="D1469" s="398" t="s">
        <v>1830</v>
      </c>
      <c r="E1469" s="398" t="s">
        <v>2032</v>
      </c>
      <c r="F1469" s="385" t="s">
        <v>2013</v>
      </c>
      <c r="G1469" s="385" t="s">
        <v>2014</v>
      </c>
      <c r="H1469" s="401" t="s">
        <v>2033</v>
      </c>
      <c r="I1469" s="385" t="str">
        <f>CONCATENATE(I1470," ",N1470,M1470," ",I1471," ",N1471,M1471," "," ",I1472," ",N1472,M1472," ",)</f>
        <v xml:space="preserve">Ручная расчистка  0,51Га Замена дефектных изоляторов  3шт.  Валка угрожающих деревьев  25шт. </v>
      </c>
      <c r="J1469" s="385" t="s">
        <v>365</v>
      </c>
      <c r="K1469" s="467">
        <v>44256</v>
      </c>
      <c r="L1469" s="470">
        <v>44530</v>
      </c>
      <c r="M1469" s="490"/>
      <c r="N1469" s="490"/>
    </row>
    <row r="1470" spans="1:14" hidden="1" outlineLevel="2">
      <c r="A1470" s="412"/>
      <c r="B1470" s="385" t="s">
        <v>52</v>
      </c>
      <c r="C1470" s="452" t="s">
        <v>1836</v>
      </c>
      <c r="D1470" s="385" t="s">
        <v>1830</v>
      </c>
      <c r="E1470" s="398"/>
      <c r="F1470" s="451" t="s">
        <v>1211</v>
      </c>
      <c r="G1470" s="459" t="s">
        <v>1889</v>
      </c>
      <c r="H1470" s="401" t="s">
        <v>2034</v>
      </c>
      <c r="I1470" s="469" t="s">
        <v>409</v>
      </c>
      <c r="J1470" s="385"/>
      <c r="K1470" s="467"/>
      <c r="L1470" s="467"/>
      <c r="M1470" s="490" t="s">
        <v>1997</v>
      </c>
      <c r="N1470" s="490">
        <v>0.51</v>
      </c>
    </row>
    <row r="1471" spans="1:14" hidden="1" outlineLevel="2">
      <c r="A1471" s="412"/>
      <c r="B1471" s="385" t="s">
        <v>52</v>
      </c>
      <c r="C1471" s="452" t="s">
        <v>1836</v>
      </c>
      <c r="D1471" s="385" t="s">
        <v>1830</v>
      </c>
      <c r="E1471" s="398"/>
      <c r="F1471" s="398"/>
      <c r="G1471" s="385"/>
      <c r="H1471" s="401" t="s">
        <v>2035</v>
      </c>
      <c r="I1471" s="469" t="s">
        <v>1910</v>
      </c>
      <c r="J1471" s="385"/>
      <c r="K1471" s="467"/>
      <c r="L1471" s="467"/>
      <c r="M1471" s="490" t="s">
        <v>37</v>
      </c>
      <c r="N1471" s="490">
        <v>3</v>
      </c>
    </row>
    <row r="1472" spans="1:14" hidden="1" outlineLevel="2">
      <c r="A1472" s="412"/>
      <c r="B1472" s="385" t="s">
        <v>52</v>
      </c>
      <c r="C1472" s="452" t="s">
        <v>1836</v>
      </c>
      <c r="D1472" s="385" t="s">
        <v>1830</v>
      </c>
      <c r="E1472" s="398"/>
      <c r="F1472" s="398"/>
      <c r="G1472" s="385"/>
      <c r="H1472" s="401" t="s">
        <v>2036</v>
      </c>
      <c r="I1472" s="469" t="s">
        <v>2037</v>
      </c>
      <c r="J1472" s="385"/>
      <c r="K1472" s="467"/>
      <c r="L1472" s="467"/>
      <c r="M1472" s="490" t="s">
        <v>37</v>
      </c>
      <c r="N1472" s="490">
        <v>25</v>
      </c>
    </row>
    <row r="1473" spans="1:14" s="384" customFormat="1" ht="40.5" outlineLevel="1" collapsed="1">
      <c r="A1473" s="412" t="s">
        <v>2038</v>
      </c>
      <c r="B1473" s="490" t="s">
        <v>288</v>
      </c>
      <c r="C1473" s="398" t="s">
        <v>1836</v>
      </c>
      <c r="D1473" s="398" t="s">
        <v>1830</v>
      </c>
      <c r="E1473" s="398" t="s">
        <v>2039</v>
      </c>
      <c r="F1473" s="385" t="s">
        <v>2028</v>
      </c>
      <c r="G1473" s="385" t="s">
        <v>1889</v>
      </c>
      <c r="H1473" s="401" t="s">
        <v>2040</v>
      </c>
      <c r="I1473" s="385" t="str">
        <f>CONCATENATE(I1474," ",N1474,M1474," ",I1475," ",N1475,M1475," "," ",I1476," ",N1476,M1476," ",)</f>
        <v xml:space="preserve">Ручная расчистка  0,72Га Монтаж грозотроса 0,14км  Обрезка крон деревьев  20шт. </v>
      </c>
      <c r="J1473" s="385" t="s">
        <v>365</v>
      </c>
      <c r="K1473" s="467">
        <v>44256</v>
      </c>
      <c r="L1473" s="470">
        <v>44530</v>
      </c>
      <c r="M1473" s="490"/>
      <c r="N1473" s="490"/>
    </row>
    <row r="1474" spans="1:14" hidden="1" outlineLevel="2">
      <c r="A1474" s="489"/>
      <c r="B1474" s="385" t="s">
        <v>52</v>
      </c>
      <c r="C1474" s="452" t="s">
        <v>1836</v>
      </c>
      <c r="D1474" s="385" t="s">
        <v>1830</v>
      </c>
      <c r="E1474" s="398"/>
      <c r="F1474" s="451" t="s">
        <v>1211</v>
      </c>
      <c r="G1474" s="459" t="s">
        <v>1889</v>
      </c>
      <c r="H1474" s="401" t="s">
        <v>2041</v>
      </c>
      <c r="I1474" s="469" t="s">
        <v>409</v>
      </c>
      <c r="J1474" s="385"/>
      <c r="K1474" s="467"/>
      <c r="L1474" s="467"/>
      <c r="M1474" s="490" t="s">
        <v>1997</v>
      </c>
      <c r="N1474" s="490">
        <v>0.72</v>
      </c>
    </row>
    <row r="1475" spans="1:14" hidden="1" outlineLevel="2">
      <c r="A1475" s="489"/>
      <c r="B1475" s="385" t="s">
        <v>52</v>
      </c>
      <c r="C1475" s="452" t="s">
        <v>1836</v>
      </c>
      <c r="D1475" s="385" t="s">
        <v>1830</v>
      </c>
      <c r="E1475" s="398"/>
      <c r="F1475" s="398"/>
      <c r="G1475" s="385"/>
      <c r="H1475" s="401" t="s">
        <v>2005</v>
      </c>
      <c r="I1475" s="469" t="s">
        <v>185</v>
      </c>
      <c r="J1475" s="385"/>
      <c r="K1475" s="467"/>
      <c r="L1475" s="467"/>
      <c r="M1475" s="490" t="s">
        <v>308</v>
      </c>
      <c r="N1475" s="404">
        <v>0.14000000000000001</v>
      </c>
    </row>
    <row r="1476" spans="1:14" hidden="1" outlineLevel="2">
      <c r="A1476" s="489"/>
      <c r="B1476" s="385" t="s">
        <v>52</v>
      </c>
      <c r="C1476" s="452" t="s">
        <v>1836</v>
      </c>
      <c r="D1476" s="385" t="s">
        <v>1830</v>
      </c>
      <c r="E1476" s="398"/>
      <c r="F1476" s="398"/>
      <c r="G1476" s="385"/>
      <c r="H1476" s="401" t="s">
        <v>2042</v>
      </c>
      <c r="I1476" s="469" t="s">
        <v>2000</v>
      </c>
      <c r="J1476" s="385"/>
      <c r="K1476" s="467"/>
      <c r="L1476" s="467"/>
      <c r="M1476" s="490" t="s">
        <v>37</v>
      </c>
      <c r="N1476" s="490">
        <v>20</v>
      </c>
    </row>
    <row r="1477" spans="1:14" s="384" customFormat="1" ht="141.75" outlineLevel="1" collapsed="1">
      <c r="A1477" s="489" t="s">
        <v>2043</v>
      </c>
      <c r="B1477" s="490" t="s">
        <v>288</v>
      </c>
      <c r="C1477" s="398" t="s">
        <v>1836</v>
      </c>
      <c r="D1477" s="398" t="s">
        <v>1830</v>
      </c>
      <c r="E1477" s="398" t="s">
        <v>2044</v>
      </c>
      <c r="F1477" s="385" t="s">
        <v>2045</v>
      </c>
      <c r="G1477" s="385" t="s">
        <v>2014</v>
      </c>
      <c r="H1477" s="401" t="s">
        <v>2046</v>
      </c>
      <c r="I1477" s="385" t="str">
        <f>CONCATENATE(I1478," ",N1478,M1478," ",I1479," ",N1479,M1479," "," ",I1480," ",N1480,M1480," ",)</f>
        <v xml:space="preserve">Ручная расчистка банкеток 0,0036Га Выправка опор  2шт.  Валка угрожающих деревьев  25шт. </v>
      </c>
      <c r="J1477" s="385" t="s">
        <v>365</v>
      </c>
      <c r="K1477" s="467">
        <v>44256</v>
      </c>
      <c r="L1477" s="470">
        <v>44530</v>
      </c>
      <c r="M1477" s="490"/>
      <c r="N1477" s="490"/>
    </row>
    <row r="1478" spans="1:14" hidden="1" outlineLevel="2">
      <c r="A1478" s="489"/>
      <c r="B1478" s="385" t="s">
        <v>52</v>
      </c>
      <c r="C1478" s="452" t="s">
        <v>1836</v>
      </c>
      <c r="D1478" s="385" t="s">
        <v>1830</v>
      </c>
      <c r="E1478" s="398"/>
      <c r="F1478" s="451" t="s">
        <v>1211</v>
      </c>
      <c r="G1478" s="459" t="s">
        <v>1889</v>
      </c>
      <c r="H1478" s="401" t="s">
        <v>2047</v>
      </c>
      <c r="I1478" s="469" t="s">
        <v>2048</v>
      </c>
      <c r="J1478" s="385"/>
      <c r="K1478" s="467"/>
      <c r="L1478" s="467"/>
      <c r="M1478" s="490" t="s">
        <v>1997</v>
      </c>
      <c r="N1478" s="404">
        <v>3.5999999999999999E-3</v>
      </c>
    </row>
    <row r="1479" spans="1:14" hidden="1" outlineLevel="2">
      <c r="A1479" s="489"/>
      <c r="B1479" s="385" t="s">
        <v>52</v>
      </c>
      <c r="C1479" s="452" t="s">
        <v>1836</v>
      </c>
      <c r="D1479" s="385" t="s">
        <v>1830</v>
      </c>
      <c r="E1479" s="398"/>
      <c r="F1479" s="398"/>
      <c r="G1479" s="385"/>
      <c r="H1479" s="401" t="s">
        <v>2049</v>
      </c>
      <c r="I1479" s="469" t="s">
        <v>2026</v>
      </c>
      <c r="J1479" s="385"/>
      <c r="K1479" s="467"/>
      <c r="L1479" s="467"/>
      <c r="M1479" s="490" t="s">
        <v>37</v>
      </c>
      <c r="N1479" s="490">
        <v>2</v>
      </c>
    </row>
    <row r="1480" spans="1:14" hidden="1" outlineLevel="2">
      <c r="A1480" s="489"/>
      <c r="B1480" s="385" t="s">
        <v>52</v>
      </c>
      <c r="C1480" s="452" t="s">
        <v>1836</v>
      </c>
      <c r="D1480" s="385" t="s">
        <v>1830</v>
      </c>
      <c r="E1480" s="398"/>
      <c r="F1480" s="398"/>
      <c r="G1480" s="385"/>
      <c r="H1480" s="401" t="s">
        <v>2050</v>
      </c>
      <c r="I1480" s="469" t="s">
        <v>2037</v>
      </c>
      <c r="J1480" s="385"/>
      <c r="K1480" s="467"/>
      <c r="L1480" s="467"/>
      <c r="M1480" s="490" t="s">
        <v>37</v>
      </c>
      <c r="N1480" s="490">
        <v>25</v>
      </c>
    </row>
    <row r="1481" spans="1:14" s="384" customFormat="1" ht="40.5" outlineLevel="1" collapsed="1">
      <c r="A1481" s="489" t="s">
        <v>2051</v>
      </c>
      <c r="B1481" s="490" t="s">
        <v>288</v>
      </c>
      <c r="C1481" s="398" t="s">
        <v>1836</v>
      </c>
      <c r="D1481" s="398" t="s">
        <v>1830</v>
      </c>
      <c r="E1481" s="398" t="s">
        <v>2052</v>
      </c>
      <c r="F1481" s="385" t="s">
        <v>2053</v>
      </c>
      <c r="G1481" s="385" t="s">
        <v>1889</v>
      </c>
      <c r="H1481" s="401" t="s">
        <v>2054</v>
      </c>
      <c r="I1481" s="385" t="str">
        <f>CONCATENATE(I1482," ",N1482,M1482," ",I1483," ",N1483,M1483," "," ",I1484," ",N1484,M1484," ",)</f>
        <v xml:space="preserve">Ручная расчистка  2Га Замена дефектных изоляторов 3шт.  Выправка опор 2шт. </v>
      </c>
      <c r="J1481" s="385" t="s">
        <v>365</v>
      </c>
      <c r="K1481" s="467">
        <v>44256</v>
      </c>
      <c r="L1481" s="470">
        <v>44530</v>
      </c>
      <c r="M1481" s="490"/>
      <c r="N1481" s="490"/>
    </row>
    <row r="1482" spans="1:14" ht="40.5" hidden="1" outlineLevel="2">
      <c r="A1482" s="489"/>
      <c r="B1482" s="385" t="s">
        <v>52</v>
      </c>
      <c r="C1482" s="452" t="s">
        <v>1836</v>
      </c>
      <c r="D1482" s="385" t="s">
        <v>1830</v>
      </c>
      <c r="E1482" s="398"/>
      <c r="F1482" s="451" t="s">
        <v>1211</v>
      </c>
      <c r="G1482" s="459" t="s">
        <v>1889</v>
      </c>
      <c r="H1482" s="401" t="s">
        <v>2055</v>
      </c>
      <c r="I1482" s="469" t="s">
        <v>409</v>
      </c>
      <c r="J1482" s="385"/>
      <c r="K1482" s="467"/>
      <c r="L1482" s="467"/>
      <c r="M1482" s="490" t="s">
        <v>1997</v>
      </c>
      <c r="N1482" s="490">
        <v>2</v>
      </c>
    </row>
    <row r="1483" spans="1:14" hidden="1" outlineLevel="2">
      <c r="A1483" s="489"/>
      <c r="B1483" s="385" t="s">
        <v>52</v>
      </c>
      <c r="C1483" s="452" t="s">
        <v>1836</v>
      </c>
      <c r="D1483" s="385" t="s">
        <v>1830</v>
      </c>
      <c r="E1483" s="398"/>
      <c r="F1483" s="398"/>
      <c r="G1483" s="385"/>
      <c r="H1483" s="401" t="s">
        <v>2056</v>
      </c>
      <c r="I1483" s="469" t="s">
        <v>1892</v>
      </c>
      <c r="J1483" s="385"/>
      <c r="K1483" s="467"/>
      <c r="L1483" s="467"/>
      <c r="M1483" s="490" t="s">
        <v>37</v>
      </c>
      <c r="N1483" s="490">
        <v>3</v>
      </c>
    </row>
    <row r="1484" spans="1:14" hidden="1" outlineLevel="2">
      <c r="A1484" s="489"/>
      <c r="B1484" s="385" t="s">
        <v>52</v>
      </c>
      <c r="C1484" s="452" t="s">
        <v>1836</v>
      </c>
      <c r="D1484" s="385" t="s">
        <v>1830</v>
      </c>
      <c r="E1484" s="398"/>
      <c r="F1484" s="398"/>
      <c r="G1484" s="385"/>
      <c r="H1484" s="401" t="s">
        <v>2057</v>
      </c>
      <c r="I1484" s="469" t="s">
        <v>167</v>
      </c>
      <c r="J1484" s="385"/>
      <c r="K1484" s="467"/>
      <c r="L1484" s="467"/>
      <c r="M1484" s="490" t="s">
        <v>37</v>
      </c>
      <c r="N1484" s="490">
        <v>2</v>
      </c>
    </row>
    <row r="1485" spans="1:14" s="384" customFormat="1" ht="60.75" outlineLevel="1" collapsed="1">
      <c r="A1485" s="489" t="s">
        <v>2058</v>
      </c>
      <c r="B1485" s="490" t="s">
        <v>288</v>
      </c>
      <c r="C1485" s="398" t="s">
        <v>1836</v>
      </c>
      <c r="D1485" s="398" t="s">
        <v>1830</v>
      </c>
      <c r="E1485" s="398" t="s">
        <v>2059</v>
      </c>
      <c r="F1485" s="385" t="s">
        <v>2053</v>
      </c>
      <c r="G1485" s="385" t="s">
        <v>1889</v>
      </c>
      <c r="H1485" s="401" t="s">
        <v>2060</v>
      </c>
      <c r="I1485" s="385" t="str">
        <f>CONCATENATE(I1486," ",N1486,M1486," ",I1487," ",N1487,M1487," "," ",I1488," ",N1488,M1488," ",I1489," ",N1489,M1489," ",I1490," ",N1490,M1490," ",)</f>
        <v xml:space="preserve">Ручная расчистка  0,8Га Замена дефектных изоляторов  3шт.  Обрезка крон деревьев  15шт. Валка угрожающих деревьев 5шт. Ремонт провода (рем.зажим) 1шт. </v>
      </c>
      <c r="J1485" s="385" t="s">
        <v>365</v>
      </c>
      <c r="K1485" s="467">
        <v>44256</v>
      </c>
      <c r="L1485" s="470">
        <v>44530</v>
      </c>
      <c r="M1485" s="490"/>
      <c r="N1485" s="490"/>
    </row>
    <row r="1486" spans="1:14" hidden="1" outlineLevel="2">
      <c r="A1486" s="489"/>
      <c r="B1486" s="385" t="s">
        <v>52</v>
      </c>
      <c r="C1486" s="452" t="s">
        <v>1836</v>
      </c>
      <c r="D1486" s="385" t="s">
        <v>1830</v>
      </c>
      <c r="E1486" s="398"/>
      <c r="F1486" s="451" t="s">
        <v>1211</v>
      </c>
      <c r="G1486" s="459" t="s">
        <v>1889</v>
      </c>
      <c r="H1486" s="401" t="s">
        <v>2061</v>
      </c>
      <c r="I1486" s="469" t="s">
        <v>409</v>
      </c>
      <c r="J1486" s="385"/>
      <c r="K1486" s="467"/>
      <c r="L1486" s="467"/>
      <c r="M1486" s="490" t="s">
        <v>1997</v>
      </c>
      <c r="N1486" s="490">
        <v>0.8</v>
      </c>
    </row>
    <row r="1487" spans="1:14" hidden="1" outlineLevel="2">
      <c r="A1487" s="489"/>
      <c r="B1487" s="385" t="s">
        <v>52</v>
      </c>
      <c r="C1487" s="452" t="s">
        <v>1836</v>
      </c>
      <c r="D1487" s="385" t="s">
        <v>1830</v>
      </c>
      <c r="E1487" s="398"/>
      <c r="F1487" s="398"/>
      <c r="G1487" s="385"/>
      <c r="H1487" s="401" t="s">
        <v>2062</v>
      </c>
      <c r="I1487" s="469" t="s">
        <v>1910</v>
      </c>
      <c r="J1487" s="385"/>
      <c r="K1487" s="467"/>
      <c r="L1487" s="467"/>
      <c r="M1487" s="490" t="s">
        <v>37</v>
      </c>
      <c r="N1487" s="490">
        <v>3</v>
      </c>
    </row>
    <row r="1488" spans="1:14" hidden="1" outlineLevel="2">
      <c r="A1488" s="489"/>
      <c r="B1488" s="385" t="s">
        <v>52</v>
      </c>
      <c r="C1488" s="452" t="s">
        <v>1836</v>
      </c>
      <c r="D1488" s="385" t="s">
        <v>1830</v>
      </c>
      <c r="E1488" s="398"/>
      <c r="F1488" s="398"/>
      <c r="G1488" s="385"/>
      <c r="H1488" s="401" t="s">
        <v>2063</v>
      </c>
      <c r="I1488" s="469" t="s">
        <v>2000</v>
      </c>
      <c r="J1488" s="385"/>
      <c r="K1488" s="467"/>
      <c r="L1488" s="467"/>
      <c r="M1488" s="490" t="s">
        <v>37</v>
      </c>
      <c r="N1488" s="490">
        <v>15</v>
      </c>
    </row>
    <row r="1489" spans="1:14" hidden="1" outlineLevel="2">
      <c r="A1489" s="403"/>
      <c r="B1489" s="385" t="s">
        <v>52</v>
      </c>
      <c r="C1489" s="452" t="s">
        <v>1836</v>
      </c>
      <c r="D1489" s="385" t="s">
        <v>1830</v>
      </c>
      <c r="E1489" s="490"/>
      <c r="F1489" s="385"/>
      <c r="G1489" s="385"/>
      <c r="H1489" s="401" t="s">
        <v>2064</v>
      </c>
      <c r="I1489" s="469" t="s">
        <v>2065</v>
      </c>
      <c r="J1489" s="489"/>
      <c r="K1489" s="450"/>
      <c r="L1489" s="450"/>
      <c r="M1489" s="490" t="s">
        <v>37</v>
      </c>
      <c r="N1489" s="490">
        <v>5</v>
      </c>
    </row>
    <row r="1490" spans="1:14" hidden="1" outlineLevel="2">
      <c r="A1490" s="403"/>
      <c r="B1490" s="385" t="s">
        <v>52</v>
      </c>
      <c r="C1490" s="452" t="s">
        <v>1836</v>
      </c>
      <c r="D1490" s="385" t="s">
        <v>1830</v>
      </c>
      <c r="E1490" s="490"/>
      <c r="F1490" s="385"/>
      <c r="G1490" s="385"/>
      <c r="H1490" s="401" t="s">
        <v>2066</v>
      </c>
      <c r="I1490" s="469" t="s">
        <v>2067</v>
      </c>
      <c r="J1490" s="489"/>
      <c r="K1490" s="450"/>
      <c r="L1490" s="450"/>
      <c r="M1490" s="490" t="s">
        <v>37</v>
      </c>
      <c r="N1490" s="490">
        <v>1</v>
      </c>
    </row>
    <row r="1491" spans="1:14" s="384" customFormat="1" ht="40.5" outlineLevel="1" collapsed="1">
      <c r="A1491" s="489" t="s">
        <v>2068</v>
      </c>
      <c r="B1491" s="490" t="s">
        <v>288</v>
      </c>
      <c r="C1491" s="398" t="s">
        <v>1836</v>
      </c>
      <c r="D1491" s="398" t="s">
        <v>1830</v>
      </c>
      <c r="E1491" s="398" t="s">
        <v>2069</v>
      </c>
      <c r="F1491" s="385" t="s">
        <v>2053</v>
      </c>
      <c r="G1491" s="385" t="s">
        <v>1889</v>
      </c>
      <c r="H1491" s="401" t="s">
        <v>3753</v>
      </c>
      <c r="I1491" s="385" t="str">
        <f>CONCATENATE(I1492," ",N1492,M1492," ",)</f>
        <v xml:space="preserve">Ручная расчистка  0,2Га </v>
      </c>
      <c r="J1491" s="385" t="s">
        <v>365</v>
      </c>
      <c r="K1491" s="467">
        <v>44256</v>
      </c>
      <c r="L1491" s="470">
        <v>44530</v>
      </c>
      <c r="M1491" s="490"/>
      <c r="N1491" s="490"/>
    </row>
    <row r="1492" spans="1:14" hidden="1" outlineLevel="2">
      <c r="A1492" s="489"/>
      <c r="B1492" s="385" t="s">
        <v>52</v>
      </c>
      <c r="C1492" s="452" t="s">
        <v>1836</v>
      </c>
      <c r="D1492" s="385" t="s">
        <v>1830</v>
      </c>
      <c r="E1492" s="398"/>
      <c r="F1492" s="451" t="s">
        <v>1211</v>
      </c>
      <c r="G1492" s="459" t="s">
        <v>1889</v>
      </c>
      <c r="H1492" s="401" t="s">
        <v>2070</v>
      </c>
      <c r="I1492" s="469" t="s">
        <v>409</v>
      </c>
      <c r="J1492" s="385"/>
      <c r="K1492" s="467"/>
      <c r="L1492" s="467"/>
      <c r="M1492" s="490" t="s">
        <v>1997</v>
      </c>
      <c r="N1492" s="490">
        <v>0.2</v>
      </c>
    </row>
    <row r="1493" spans="1:14" s="384" customFormat="1" ht="141.75" outlineLevel="1" collapsed="1">
      <c r="A1493" s="489" t="s">
        <v>2071</v>
      </c>
      <c r="B1493" s="490" t="s">
        <v>288</v>
      </c>
      <c r="C1493" s="398" t="s">
        <v>1836</v>
      </c>
      <c r="D1493" s="398" t="s">
        <v>1830</v>
      </c>
      <c r="E1493" s="398" t="s">
        <v>2069</v>
      </c>
      <c r="F1493" s="385" t="s">
        <v>1994</v>
      </c>
      <c r="G1493" s="385" t="s">
        <v>2014</v>
      </c>
      <c r="H1493" s="401" t="s">
        <v>3754</v>
      </c>
      <c r="I1493" s="385" t="str">
        <f>CONCATENATE(I1494," ",N1494,M1494," ",)</f>
        <v xml:space="preserve">Ручная расчистка  0,1Га </v>
      </c>
      <c r="J1493" s="385" t="s">
        <v>365</v>
      </c>
      <c r="K1493" s="467">
        <v>44256</v>
      </c>
      <c r="L1493" s="470">
        <v>44530</v>
      </c>
      <c r="M1493" s="490"/>
      <c r="N1493" s="490"/>
    </row>
    <row r="1494" spans="1:14" hidden="1" outlineLevel="2">
      <c r="A1494" s="489"/>
      <c r="B1494" s="385" t="s">
        <v>52</v>
      </c>
      <c r="C1494" s="452" t="s">
        <v>1836</v>
      </c>
      <c r="D1494" s="385" t="s">
        <v>1830</v>
      </c>
      <c r="E1494" s="398"/>
      <c r="F1494" s="451" t="s">
        <v>1211</v>
      </c>
      <c r="G1494" s="459" t="s">
        <v>1889</v>
      </c>
      <c r="H1494" s="401" t="s">
        <v>2072</v>
      </c>
      <c r="I1494" s="469" t="s">
        <v>409</v>
      </c>
      <c r="J1494" s="385"/>
      <c r="K1494" s="467"/>
      <c r="L1494" s="467"/>
      <c r="M1494" s="490" t="s">
        <v>1997</v>
      </c>
      <c r="N1494" s="490">
        <v>0.1</v>
      </c>
    </row>
    <row r="1495" spans="1:14" s="384" customFormat="1" ht="101.25" outlineLevel="1" collapsed="1">
      <c r="A1495" s="489" t="s">
        <v>2073</v>
      </c>
      <c r="B1495" s="490" t="s">
        <v>288</v>
      </c>
      <c r="C1495" s="398" t="s">
        <v>1836</v>
      </c>
      <c r="D1495" s="398" t="s">
        <v>1830</v>
      </c>
      <c r="E1495" s="398" t="s">
        <v>2074</v>
      </c>
      <c r="F1495" s="385" t="s">
        <v>1905</v>
      </c>
      <c r="G1495" s="385" t="s">
        <v>1906</v>
      </c>
      <c r="H1495" s="401" t="s">
        <v>3755</v>
      </c>
      <c r="I1495" s="385" t="str">
        <f>CONCATENATE(I1496," ",N1496,M1496," ",I1497," ",N1497,M1497)</f>
        <v>Замена дефектных изоляторов   5шт Выправка изолирующей  поддерживающей подвески 5оп.</v>
      </c>
      <c r="J1495" s="385" t="s">
        <v>365</v>
      </c>
      <c r="K1495" s="467">
        <v>44256</v>
      </c>
      <c r="L1495" s="470">
        <v>44530</v>
      </c>
      <c r="M1495" s="490"/>
      <c r="N1495" s="490"/>
    </row>
    <row r="1496" spans="1:14" hidden="1" outlineLevel="2">
      <c r="A1496" s="489"/>
      <c r="B1496" s="385" t="s">
        <v>52</v>
      </c>
      <c r="C1496" s="452" t="s">
        <v>1836</v>
      </c>
      <c r="D1496" s="385" t="s">
        <v>1830</v>
      </c>
      <c r="E1496" s="398"/>
      <c r="F1496" s="385"/>
      <c r="G1496" s="385"/>
      <c r="H1496" s="401" t="s">
        <v>2075</v>
      </c>
      <c r="I1496" s="469" t="s">
        <v>2076</v>
      </c>
      <c r="J1496" s="385"/>
      <c r="K1496" s="467"/>
      <c r="L1496" s="467"/>
      <c r="M1496" s="490" t="s">
        <v>813</v>
      </c>
      <c r="N1496" s="490">
        <v>5</v>
      </c>
    </row>
    <row r="1497" spans="1:14" hidden="1" outlineLevel="2">
      <c r="A1497" s="489"/>
      <c r="B1497" s="385" t="s">
        <v>52</v>
      </c>
      <c r="C1497" s="452" t="s">
        <v>1836</v>
      </c>
      <c r="D1497" s="385" t="s">
        <v>1830</v>
      </c>
      <c r="E1497" s="398"/>
      <c r="F1497" s="398"/>
      <c r="G1497" s="385"/>
      <c r="H1497" s="401" t="s">
        <v>2077</v>
      </c>
      <c r="I1497" s="385" t="s">
        <v>2078</v>
      </c>
      <c r="J1497" s="385"/>
      <c r="K1497" s="467"/>
      <c r="L1497" s="467"/>
      <c r="M1497" s="490" t="s">
        <v>2079</v>
      </c>
      <c r="N1497" s="490">
        <v>5</v>
      </c>
    </row>
    <row r="1498" spans="1:14" s="384" customFormat="1" ht="101.25" outlineLevel="1" collapsed="1">
      <c r="A1498" s="489" t="s">
        <v>2080</v>
      </c>
      <c r="B1498" s="490" t="s">
        <v>288</v>
      </c>
      <c r="C1498" s="398" t="s">
        <v>1836</v>
      </c>
      <c r="D1498" s="398" t="s">
        <v>1830</v>
      </c>
      <c r="E1498" s="398" t="s">
        <v>2081</v>
      </c>
      <c r="F1498" s="385" t="s">
        <v>1905</v>
      </c>
      <c r="G1498" s="385" t="s">
        <v>1906</v>
      </c>
      <c r="H1498" s="401" t="s">
        <v>3756</v>
      </c>
      <c r="I1498" s="385" t="str">
        <f>CONCATENATE(I1499," ",N1499,M1499," ",I1500," ",N1500,M1500)</f>
        <v>Замена дефектных изоляторов   2шт Установка поддерж.зажима на опоре 1шт</v>
      </c>
      <c r="J1498" s="385" t="s">
        <v>365</v>
      </c>
      <c r="K1498" s="467">
        <v>44256</v>
      </c>
      <c r="L1498" s="470">
        <v>44530</v>
      </c>
      <c r="M1498" s="490"/>
      <c r="N1498" s="490"/>
    </row>
    <row r="1499" spans="1:14" hidden="1" outlineLevel="2">
      <c r="A1499" s="489"/>
      <c r="B1499" s="385" t="s">
        <v>52</v>
      </c>
      <c r="C1499" s="452" t="s">
        <v>1836</v>
      </c>
      <c r="D1499" s="385" t="s">
        <v>1830</v>
      </c>
      <c r="E1499" s="398"/>
      <c r="F1499" s="385"/>
      <c r="G1499" s="385"/>
      <c r="H1499" s="401" t="s">
        <v>2082</v>
      </c>
      <c r="I1499" s="469" t="s">
        <v>2076</v>
      </c>
      <c r="J1499" s="385"/>
      <c r="K1499" s="467"/>
      <c r="L1499" s="467"/>
      <c r="M1499" s="490" t="s">
        <v>813</v>
      </c>
      <c r="N1499" s="490">
        <v>2</v>
      </c>
    </row>
    <row r="1500" spans="1:14" hidden="1" outlineLevel="2">
      <c r="A1500" s="489"/>
      <c r="B1500" s="385" t="s">
        <v>52</v>
      </c>
      <c r="C1500" s="452" t="s">
        <v>1836</v>
      </c>
      <c r="D1500" s="385" t="s">
        <v>1830</v>
      </c>
      <c r="E1500" s="398"/>
      <c r="F1500" s="398"/>
      <c r="G1500" s="385"/>
      <c r="H1500" s="401" t="s">
        <v>2083</v>
      </c>
      <c r="I1500" s="469" t="s">
        <v>2084</v>
      </c>
      <c r="J1500" s="385"/>
      <c r="K1500" s="467"/>
      <c r="L1500" s="467"/>
      <c r="M1500" s="490" t="s">
        <v>813</v>
      </c>
      <c r="N1500" s="490">
        <v>1</v>
      </c>
    </row>
    <row r="1501" spans="1:14" s="384" customFormat="1" ht="40.5" outlineLevel="1" collapsed="1">
      <c r="A1501" s="489" t="s">
        <v>2085</v>
      </c>
      <c r="B1501" s="490" t="s">
        <v>288</v>
      </c>
      <c r="C1501" s="398" t="s">
        <v>1836</v>
      </c>
      <c r="D1501" s="398" t="s">
        <v>1830</v>
      </c>
      <c r="E1501" s="398" t="s">
        <v>2086</v>
      </c>
      <c r="F1501" s="385" t="s">
        <v>303</v>
      </c>
      <c r="G1501" s="385"/>
      <c r="H1501" s="401" t="s">
        <v>3757</v>
      </c>
      <c r="I1501" s="385" t="str">
        <f>CONCATENATE(I1502," ",N1502,M1502," ",I1503," ",N1503,M1503)</f>
        <v>Замена дефектных изоляторов   9шт Выправка изолирующей  поддерживающей подвески 1оп</v>
      </c>
      <c r="J1501" s="385" t="s">
        <v>365</v>
      </c>
      <c r="K1501" s="467">
        <v>44256</v>
      </c>
      <c r="L1501" s="470">
        <v>44530</v>
      </c>
      <c r="M1501" s="490"/>
      <c r="N1501" s="490"/>
    </row>
    <row r="1502" spans="1:14" hidden="1" outlineLevel="2">
      <c r="A1502" s="489"/>
      <c r="B1502" s="385" t="s">
        <v>52</v>
      </c>
      <c r="C1502" s="452" t="s">
        <v>1836</v>
      </c>
      <c r="D1502" s="385" t="s">
        <v>1830</v>
      </c>
      <c r="E1502" s="398"/>
      <c r="F1502" s="385"/>
      <c r="G1502" s="385"/>
      <c r="H1502" s="401" t="s">
        <v>2087</v>
      </c>
      <c r="I1502" s="469" t="s">
        <v>2076</v>
      </c>
      <c r="J1502" s="385"/>
      <c r="K1502" s="467"/>
      <c r="L1502" s="467"/>
      <c r="M1502" s="490" t="s">
        <v>813</v>
      </c>
      <c r="N1502" s="490">
        <v>9</v>
      </c>
    </row>
    <row r="1503" spans="1:14" hidden="1" outlineLevel="2">
      <c r="A1503" s="489"/>
      <c r="B1503" s="385" t="s">
        <v>52</v>
      </c>
      <c r="C1503" s="452" t="s">
        <v>1836</v>
      </c>
      <c r="D1503" s="385" t="s">
        <v>1830</v>
      </c>
      <c r="E1503" s="398"/>
      <c r="F1503" s="398"/>
      <c r="G1503" s="385"/>
      <c r="H1503" s="401" t="s">
        <v>2088</v>
      </c>
      <c r="I1503" s="469" t="s">
        <v>2078</v>
      </c>
      <c r="J1503" s="385"/>
      <c r="K1503" s="467"/>
      <c r="L1503" s="467"/>
      <c r="M1503" s="490" t="s">
        <v>2007</v>
      </c>
      <c r="N1503" s="490">
        <v>1</v>
      </c>
    </row>
    <row r="1504" spans="1:14" s="384" customFormat="1" ht="40.5" outlineLevel="1" collapsed="1">
      <c r="A1504" s="489" t="s">
        <v>2089</v>
      </c>
      <c r="B1504" s="490" t="s">
        <v>288</v>
      </c>
      <c r="C1504" s="398" t="s">
        <v>1836</v>
      </c>
      <c r="D1504" s="398" t="s">
        <v>1830</v>
      </c>
      <c r="E1504" s="398" t="s">
        <v>2090</v>
      </c>
      <c r="F1504" s="385" t="s">
        <v>2053</v>
      </c>
      <c r="G1504" s="385" t="s">
        <v>1889</v>
      </c>
      <c r="H1504" s="401" t="s">
        <v>3758</v>
      </c>
      <c r="I1504" s="385" t="str">
        <f>CONCATENATE(I1505," ",N1505,M1505," ",I1506," ",N1506,M1506)</f>
        <v>Ручная расчистка  0,5Га Замена дефектных изоляторов 4шт</v>
      </c>
      <c r="J1504" s="385" t="s">
        <v>365</v>
      </c>
      <c r="K1504" s="467">
        <v>44256</v>
      </c>
      <c r="L1504" s="470">
        <v>44530</v>
      </c>
      <c r="M1504" s="490"/>
      <c r="N1504" s="490"/>
    </row>
    <row r="1505" spans="1:14" hidden="1" outlineLevel="2">
      <c r="A1505" s="489"/>
      <c r="B1505" s="385" t="s">
        <v>52</v>
      </c>
      <c r="C1505" s="452" t="s">
        <v>1836</v>
      </c>
      <c r="D1505" s="385" t="s">
        <v>1830</v>
      </c>
      <c r="E1505" s="398"/>
      <c r="F1505" s="451" t="s">
        <v>1211</v>
      </c>
      <c r="G1505" s="459" t="s">
        <v>1889</v>
      </c>
      <c r="H1505" s="401" t="s">
        <v>2091</v>
      </c>
      <c r="I1505" s="469" t="s">
        <v>409</v>
      </c>
      <c r="J1505" s="385"/>
      <c r="K1505" s="467"/>
      <c r="L1505" s="467"/>
      <c r="M1505" s="490" t="s">
        <v>1997</v>
      </c>
      <c r="N1505" s="490">
        <v>0.5</v>
      </c>
    </row>
    <row r="1506" spans="1:14" hidden="1" outlineLevel="2">
      <c r="A1506" s="489"/>
      <c r="B1506" s="385" t="s">
        <v>52</v>
      </c>
      <c r="C1506" s="452" t="s">
        <v>1836</v>
      </c>
      <c r="D1506" s="385" t="s">
        <v>1830</v>
      </c>
      <c r="E1506" s="398"/>
      <c r="F1506" s="398"/>
      <c r="G1506" s="385"/>
      <c r="H1506" s="401" t="s">
        <v>2092</v>
      </c>
      <c r="I1506" s="469" t="s">
        <v>1892</v>
      </c>
      <c r="J1506" s="385"/>
      <c r="K1506" s="467"/>
      <c r="L1506" s="467"/>
      <c r="M1506" s="490" t="s">
        <v>813</v>
      </c>
      <c r="N1506" s="490">
        <v>4</v>
      </c>
    </row>
    <row r="1507" spans="1:14" s="384" customFormat="1" ht="40.5" outlineLevel="1" collapsed="1">
      <c r="A1507" s="489" t="s">
        <v>2093</v>
      </c>
      <c r="B1507" s="490" t="s">
        <v>288</v>
      </c>
      <c r="C1507" s="551" t="s">
        <v>49</v>
      </c>
      <c r="D1507" s="399" t="s">
        <v>2094</v>
      </c>
      <c r="E1507" s="490" t="s">
        <v>2095</v>
      </c>
      <c r="F1507" s="385" t="s">
        <v>1211</v>
      </c>
      <c r="G1507" s="385" t="s">
        <v>1889</v>
      </c>
      <c r="H1507" s="401" t="s">
        <v>2096</v>
      </c>
      <c r="I1507" s="385" t="str">
        <f>CONCATENATE(I1508," ",N1508,M1508," ")</f>
        <v xml:space="preserve">Ручная расчистка 2,26га. </v>
      </c>
      <c r="J1507" s="489" t="s">
        <v>365</v>
      </c>
      <c r="K1507" s="450">
        <v>44197</v>
      </c>
      <c r="L1507" s="450">
        <v>44255</v>
      </c>
      <c r="M1507" s="490"/>
      <c r="N1507" s="490"/>
    </row>
    <row r="1508" spans="1:14" ht="40.5" hidden="1" outlineLevel="2">
      <c r="A1508" s="438"/>
      <c r="B1508" s="490" t="s">
        <v>288</v>
      </c>
      <c r="C1508" s="398" t="s">
        <v>49</v>
      </c>
      <c r="D1508" s="385" t="s">
        <v>1830</v>
      </c>
      <c r="E1508" s="385"/>
      <c r="F1508" s="451" t="s">
        <v>1211</v>
      </c>
      <c r="G1508" s="459" t="s">
        <v>1889</v>
      </c>
      <c r="H1508" s="401" t="s">
        <v>2097</v>
      </c>
      <c r="I1508" s="385" t="s">
        <v>162</v>
      </c>
      <c r="J1508" s="489" t="s">
        <v>365</v>
      </c>
      <c r="K1508" s="450">
        <v>44197</v>
      </c>
      <c r="L1508" s="450">
        <v>44255</v>
      </c>
      <c r="M1508" s="490" t="s">
        <v>95</v>
      </c>
      <c r="N1508" s="490">
        <v>2.2599999999999998</v>
      </c>
    </row>
    <row r="1509" spans="1:14" s="384" customFormat="1" ht="40.5" outlineLevel="1" collapsed="1">
      <c r="A1509" s="489" t="s">
        <v>2098</v>
      </c>
      <c r="B1509" s="490" t="s">
        <v>288</v>
      </c>
      <c r="C1509" s="490" t="s">
        <v>1976</v>
      </c>
      <c r="D1509" s="398" t="s">
        <v>1830</v>
      </c>
      <c r="E1509" s="399" t="s">
        <v>2099</v>
      </c>
      <c r="F1509" s="385" t="s">
        <v>1211</v>
      </c>
      <c r="G1509" s="385" t="s">
        <v>1889</v>
      </c>
      <c r="H1509" s="401" t="s">
        <v>2100</v>
      </c>
      <c r="I1509" s="385" t="str">
        <f>CONCATENATE(I1510," ",N1510,M1510," ",I1511," ",N1511,M1511," "," ",)</f>
        <v xml:space="preserve">Механизированная расчистка 3,45Га. Ручная расчистка 1,17Га.  </v>
      </c>
      <c r="J1509" s="385" t="s">
        <v>365</v>
      </c>
      <c r="K1509" s="467">
        <v>44348</v>
      </c>
      <c r="L1509" s="467">
        <v>44469</v>
      </c>
      <c r="M1509" s="490"/>
      <c r="N1509" s="490"/>
    </row>
    <row r="1510" spans="1:14" ht="60.75" hidden="1" outlineLevel="2">
      <c r="A1510" s="438"/>
      <c r="B1510" s="490" t="s">
        <v>288</v>
      </c>
      <c r="C1510" s="452" t="s">
        <v>1976</v>
      </c>
      <c r="D1510" s="385" t="s">
        <v>1830</v>
      </c>
      <c r="E1510" s="385"/>
      <c r="F1510" s="385"/>
      <c r="G1510" s="385" t="s">
        <v>1834</v>
      </c>
      <c r="H1510" s="401" t="s">
        <v>2101</v>
      </c>
      <c r="I1510" s="385" t="s">
        <v>159</v>
      </c>
      <c r="J1510" s="489"/>
      <c r="K1510" s="450"/>
      <c r="L1510" s="450"/>
      <c r="M1510" s="490" t="s">
        <v>44</v>
      </c>
      <c r="N1510" s="438">
        <v>3.45</v>
      </c>
    </row>
    <row r="1511" spans="1:14" ht="60.75" hidden="1" outlineLevel="2">
      <c r="A1511" s="438"/>
      <c r="B1511" s="490" t="s">
        <v>288</v>
      </c>
      <c r="C1511" s="452" t="s">
        <v>1976</v>
      </c>
      <c r="D1511" s="385" t="s">
        <v>1830</v>
      </c>
      <c r="E1511" s="385"/>
      <c r="F1511" s="385"/>
      <c r="G1511" s="385" t="s">
        <v>1834</v>
      </c>
      <c r="H1511" s="401" t="s">
        <v>2102</v>
      </c>
      <c r="I1511" s="385" t="s">
        <v>162</v>
      </c>
      <c r="J1511" s="489"/>
      <c r="K1511" s="450"/>
      <c r="L1511" s="450"/>
      <c r="M1511" s="490" t="s">
        <v>44</v>
      </c>
      <c r="N1511" s="438">
        <v>1.17</v>
      </c>
    </row>
    <row r="1512" spans="1:14" s="384" customFormat="1" ht="40.5" outlineLevel="1" collapsed="1">
      <c r="A1512" s="489" t="s">
        <v>2103</v>
      </c>
      <c r="B1512" s="490" t="s">
        <v>288</v>
      </c>
      <c r="C1512" s="490" t="s">
        <v>1976</v>
      </c>
      <c r="D1512" s="398" t="s">
        <v>1830</v>
      </c>
      <c r="E1512" s="399" t="s">
        <v>2104</v>
      </c>
      <c r="F1512" s="385" t="s">
        <v>1211</v>
      </c>
      <c r="G1512" s="385" t="s">
        <v>1889</v>
      </c>
      <c r="H1512" s="401" t="s">
        <v>2105</v>
      </c>
      <c r="I1512" s="385" t="str">
        <f>CONCATENATE(I1513," ",N1513,M1513," ",I1514," ",N1514,M1514," "," ",)</f>
        <v xml:space="preserve">Механизированная расчистка 2,35Га. Ручная расчистка 0,0126Га.  </v>
      </c>
      <c r="J1512" s="385" t="s">
        <v>365</v>
      </c>
      <c r="K1512" s="467">
        <v>44348</v>
      </c>
      <c r="L1512" s="467">
        <v>44469</v>
      </c>
      <c r="M1512" s="490"/>
      <c r="N1512" s="438"/>
    </row>
    <row r="1513" spans="1:14" ht="60.75" hidden="1" outlineLevel="2">
      <c r="A1513" s="438"/>
      <c r="B1513" s="490" t="s">
        <v>288</v>
      </c>
      <c r="C1513" s="452" t="s">
        <v>1976</v>
      </c>
      <c r="D1513" s="385" t="s">
        <v>1830</v>
      </c>
      <c r="E1513" s="385"/>
      <c r="F1513" s="385"/>
      <c r="G1513" s="385" t="s">
        <v>1834</v>
      </c>
      <c r="H1513" s="401" t="s">
        <v>2106</v>
      </c>
      <c r="I1513" s="385" t="s">
        <v>159</v>
      </c>
      <c r="J1513" s="489"/>
      <c r="K1513" s="450"/>
      <c r="L1513" s="450"/>
      <c r="M1513" s="490" t="s">
        <v>44</v>
      </c>
      <c r="N1513" s="438">
        <v>2.35</v>
      </c>
    </row>
    <row r="1514" spans="1:14" ht="60.75" hidden="1" outlineLevel="2">
      <c r="A1514" s="438"/>
      <c r="B1514" s="490" t="s">
        <v>288</v>
      </c>
      <c r="C1514" s="452" t="s">
        <v>1976</v>
      </c>
      <c r="D1514" s="385" t="s">
        <v>1830</v>
      </c>
      <c r="E1514" s="385"/>
      <c r="F1514" s="385"/>
      <c r="G1514" s="385" t="s">
        <v>1834</v>
      </c>
      <c r="H1514" s="401" t="s">
        <v>2106</v>
      </c>
      <c r="I1514" s="385" t="s">
        <v>162</v>
      </c>
      <c r="J1514" s="489"/>
      <c r="K1514" s="450"/>
      <c r="L1514" s="450"/>
      <c r="M1514" s="490" t="s">
        <v>44</v>
      </c>
      <c r="N1514" s="404">
        <v>1.26E-2</v>
      </c>
    </row>
    <row r="1515" spans="1:14" s="384" customFormat="1" ht="40.5" outlineLevel="1" collapsed="1">
      <c r="A1515" s="489" t="s">
        <v>2107</v>
      </c>
      <c r="B1515" s="490" t="s">
        <v>288</v>
      </c>
      <c r="C1515" s="490" t="s">
        <v>1976</v>
      </c>
      <c r="D1515" s="398" t="s">
        <v>1830</v>
      </c>
      <c r="E1515" s="399" t="s">
        <v>2108</v>
      </c>
      <c r="F1515" s="385" t="s">
        <v>1211</v>
      </c>
      <c r="G1515" s="385" t="s">
        <v>1889</v>
      </c>
      <c r="H1515" s="401" t="s">
        <v>2109</v>
      </c>
      <c r="I1515" s="385" t="str">
        <f>CONCATENATE(I1516," ",N1516,M1516," ",I1517," ",N1517,M1517," "," ",)</f>
        <v xml:space="preserve">Механизированная расчистка 1,76Га. Ручная расчистка 0,0027Га.  </v>
      </c>
      <c r="J1515" s="385" t="s">
        <v>365</v>
      </c>
      <c r="K1515" s="467">
        <v>44348</v>
      </c>
      <c r="L1515" s="467">
        <v>44469</v>
      </c>
      <c r="M1515" s="490"/>
      <c r="N1515" s="438"/>
    </row>
    <row r="1516" spans="1:14" ht="60.75" hidden="1" outlineLevel="2">
      <c r="A1516" s="438"/>
      <c r="B1516" s="490" t="s">
        <v>288</v>
      </c>
      <c r="C1516" s="452" t="s">
        <v>1976</v>
      </c>
      <c r="D1516" s="385" t="s">
        <v>1830</v>
      </c>
      <c r="E1516" s="385"/>
      <c r="F1516" s="385"/>
      <c r="G1516" s="385" t="s">
        <v>1834</v>
      </c>
      <c r="H1516" s="401" t="s">
        <v>2110</v>
      </c>
      <c r="I1516" s="385" t="s">
        <v>159</v>
      </c>
      <c r="J1516" s="489"/>
      <c r="K1516" s="450"/>
      <c r="L1516" s="450"/>
      <c r="M1516" s="490" t="s">
        <v>44</v>
      </c>
      <c r="N1516" s="438">
        <v>1.76</v>
      </c>
    </row>
    <row r="1517" spans="1:14" ht="60.75" hidden="1" outlineLevel="2">
      <c r="A1517" s="438"/>
      <c r="B1517" s="490" t="s">
        <v>288</v>
      </c>
      <c r="C1517" s="452" t="s">
        <v>1976</v>
      </c>
      <c r="D1517" s="385" t="s">
        <v>1830</v>
      </c>
      <c r="E1517" s="385"/>
      <c r="F1517" s="385"/>
      <c r="G1517" s="385" t="s">
        <v>1834</v>
      </c>
      <c r="H1517" s="401" t="s">
        <v>2110</v>
      </c>
      <c r="I1517" s="385" t="s">
        <v>162</v>
      </c>
      <c r="J1517" s="489"/>
      <c r="K1517" s="450"/>
      <c r="L1517" s="450"/>
      <c r="M1517" s="490" t="s">
        <v>44</v>
      </c>
      <c r="N1517" s="404">
        <v>2.7000000000000001E-3</v>
      </c>
    </row>
    <row r="1518" spans="1:14" s="384" customFormat="1" ht="40.5" outlineLevel="1" collapsed="1">
      <c r="A1518" s="489" t="s">
        <v>2111</v>
      </c>
      <c r="B1518" s="490" t="s">
        <v>288</v>
      </c>
      <c r="C1518" s="490" t="s">
        <v>1976</v>
      </c>
      <c r="D1518" s="398" t="s">
        <v>1830</v>
      </c>
      <c r="E1518" s="399" t="s">
        <v>3485</v>
      </c>
      <c r="F1518" s="385" t="s">
        <v>1211</v>
      </c>
      <c r="G1518" s="385" t="s">
        <v>1889</v>
      </c>
      <c r="H1518" s="401" t="s">
        <v>2113</v>
      </c>
      <c r="I1518" s="385" t="str">
        <f>CONCATENATE(I1519," ",N1519,M1519," ",I1520," ",N1520,M1520," "," ",)</f>
        <v xml:space="preserve">Механизированная расчистка 2,66Га. Ручная расчистка 0,0054Га.  </v>
      </c>
      <c r="J1518" s="385" t="s">
        <v>365</v>
      </c>
      <c r="K1518" s="467">
        <v>44348</v>
      </c>
      <c r="L1518" s="467">
        <v>44469</v>
      </c>
      <c r="M1518" s="490"/>
      <c r="N1518" s="438"/>
    </row>
    <row r="1519" spans="1:14" ht="60.75" hidden="1" outlineLevel="2">
      <c r="A1519" s="438"/>
      <c r="B1519" s="490" t="s">
        <v>288</v>
      </c>
      <c r="C1519" s="452" t="s">
        <v>1976</v>
      </c>
      <c r="D1519" s="385" t="s">
        <v>1830</v>
      </c>
      <c r="E1519" s="385"/>
      <c r="F1519" s="385"/>
      <c r="G1519" s="385" t="s">
        <v>1834</v>
      </c>
      <c r="H1519" s="401" t="s">
        <v>2114</v>
      </c>
      <c r="I1519" s="385" t="s">
        <v>159</v>
      </c>
      <c r="J1519" s="489"/>
      <c r="K1519" s="450"/>
      <c r="L1519" s="450"/>
      <c r="M1519" s="490" t="s">
        <v>44</v>
      </c>
      <c r="N1519" s="438">
        <v>2.66</v>
      </c>
    </row>
    <row r="1520" spans="1:14" ht="60.75" hidden="1" outlineLevel="2">
      <c r="A1520" s="438"/>
      <c r="B1520" s="490" t="s">
        <v>288</v>
      </c>
      <c r="C1520" s="452" t="s">
        <v>1976</v>
      </c>
      <c r="D1520" s="385" t="s">
        <v>1830</v>
      </c>
      <c r="E1520" s="385"/>
      <c r="F1520" s="385"/>
      <c r="G1520" s="385" t="s">
        <v>1834</v>
      </c>
      <c r="H1520" s="401" t="s">
        <v>2114</v>
      </c>
      <c r="I1520" s="385" t="s">
        <v>162</v>
      </c>
      <c r="J1520" s="489"/>
      <c r="K1520" s="450"/>
      <c r="L1520" s="450"/>
      <c r="M1520" s="490" t="s">
        <v>44</v>
      </c>
      <c r="N1520" s="404">
        <v>5.4000000000000003E-3</v>
      </c>
    </row>
    <row r="1521" spans="1:69" s="384" customFormat="1" ht="40.5" outlineLevel="1" collapsed="1">
      <c r="A1521" s="489" t="s">
        <v>2115</v>
      </c>
      <c r="B1521" s="490" t="s">
        <v>288</v>
      </c>
      <c r="C1521" s="490" t="s">
        <v>1976</v>
      </c>
      <c r="D1521" s="398" t="s">
        <v>1830</v>
      </c>
      <c r="E1521" s="399" t="s">
        <v>2112</v>
      </c>
      <c r="F1521" s="385" t="s">
        <v>1211</v>
      </c>
      <c r="G1521" s="385" t="s">
        <v>1889</v>
      </c>
      <c r="H1521" s="401" t="s">
        <v>2116</v>
      </c>
      <c r="I1521" s="385" t="str">
        <f>CONCATENATE(I1522," ",N1522,M1522," ",I1523," ",N1523,M1523," ",I1524," ",N1524,M1524," "," ",)</f>
        <v xml:space="preserve">Механизированная расчистка 1,62Га. Ручная расчистка 0,02Га. Расширение просек 2,08Га.  </v>
      </c>
      <c r="J1521" s="385" t="s">
        <v>365</v>
      </c>
      <c r="K1521" s="467">
        <v>44348</v>
      </c>
      <c r="L1521" s="467">
        <v>44469</v>
      </c>
      <c r="M1521" s="490"/>
      <c r="N1521" s="438"/>
    </row>
    <row r="1522" spans="1:69" ht="20.25" hidden="1" customHeight="1" outlineLevel="2">
      <c r="A1522" s="438"/>
      <c r="B1522" s="490" t="s">
        <v>288</v>
      </c>
      <c r="C1522" s="452" t="s">
        <v>1976</v>
      </c>
      <c r="D1522" s="385" t="s">
        <v>1830</v>
      </c>
      <c r="E1522" s="385"/>
      <c r="F1522" s="385"/>
      <c r="G1522" s="385" t="s">
        <v>1834</v>
      </c>
      <c r="H1522" s="401" t="s">
        <v>2117</v>
      </c>
      <c r="I1522" s="385" t="s">
        <v>159</v>
      </c>
      <c r="J1522" s="489"/>
      <c r="K1522" s="450"/>
      <c r="L1522" s="450"/>
      <c r="M1522" s="490" t="s">
        <v>44</v>
      </c>
      <c r="N1522" s="438">
        <v>1.62</v>
      </c>
    </row>
    <row r="1523" spans="1:69" ht="20.25" hidden="1" customHeight="1" outlineLevel="2">
      <c r="A1523" s="438"/>
      <c r="B1523" s="490" t="s">
        <v>288</v>
      </c>
      <c r="C1523" s="452" t="s">
        <v>1976</v>
      </c>
      <c r="D1523" s="385" t="s">
        <v>1830</v>
      </c>
      <c r="E1523" s="385"/>
      <c r="F1523" s="385"/>
      <c r="G1523" s="385" t="s">
        <v>1834</v>
      </c>
      <c r="H1523" s="401" t="s">
        <v>2117</v>
      </c>
      <c r="I1523" s="385" t="s">
        <v>162</v>
      </c>
      <c r="J1523" s="489"/>
      <c r="K1523" s="450"/>
      <c r="L1523" s="450"/>
      <c r="M1523" s="490" t="s">
        <v>44</v>
      </c>
      <c r="N1523" s="438">
        <v>0.02</v>
      </c>
    </row>
    <row r="1524" spans="1:69" ht="60.75" hidden="1" outlineLevel="2">
      <c r="A1524" s="450"/>
      <c r="B1524" s="490" t="s">
        <v>288</v>
      </c>
      <c r="C1524" s="452" t="s">
        <v>1976</v>
      </c>
      <c r="D1524" s="385" t="s">
        <v>1830</v>
      </c>
      <c r="E1524" s="385"/>
      <c r="F1524" s="385"/>
      <c r="G1524" s="385" t="s">
        <v>1835</v>
      </c>
      <c r="H1524" s="401" t="s">
        <v>2118</v>
      </c>
      <c r="I1524" s="385" t="s">
        <v>165</v>
      </c>
      <c r="J1524" s="489"/>
      <c r="K1524" s="450"/>
      <c r="L1524" s="450"/>
      <c r="M1524" s="490" t="s">
        <v>44</v>
      </c>
      <c r="N1524" s="438">
        <v>2.08</v>
      </c>
    </row>
    <row r="1525" spans="1:69" s="384" customFormat="1" ht="40.5" outlineLevel="1" collapsed="1">
      <c r="A1525" s="489" t="s">
        <v>2119</v>
      </c>
      <c r="B1525" s="490" t="s">
        <v>288</v>
      </c>
      <c r="C1525" s="490" t="s">
        <v>1976</v>
      </c>
      <c r="D1525" s="398" t="s">
        <v>1830</v>
      </c>
      <c r="E1525" s="399" t="s">
        <v>2120</v>
      </c>
      <c r="F1525" s="385" t="s">
        <v>1211</v>
      </c>
      <c r="G1525" s="385" t="s">
        <v>1889</v>
      </c>
      <c r="H1525" s="401" t="s">
        <v>2121</v>
      </c>
      <c r="I1525" s="385" t="str">
        <f>CONCATENATE(I1526," ",N1526,M1526," ",I1527," ",N1527,M1527," ",I1528," ",N1528,M1528," "," ",)</f>
        <v xml:space="preserve">Механизированная расчистка 1,65Га. Ручная расчистка 0,02Га. Расширение просек 2,22Га.  </v>
      </c>
      <c r="J1525" s="385" t="s">
        <v>365</v>
      </c>
      <c r="K1525" s="467">
        <v>44348</v>
      </c>
      <c r="L1525" s="467">
        <v>44469</v>
      </c>
      <c r="M1525" s="490"/>
      <c r="N1525" s="438"/>
    </row>
    <row r="1526" spans="1:69" ht="30" hidden="1" customHeight="1" outlineLevel="2">
      <c r="A1526" s="438"/>
      <c r="B1526" s="490" t="s">
        <v>288</v>
      </c>
      <c r="C1526" s="452" t="s">
        <v>1976</v>
      </c>
      <c r="D1526" s="385" t="s">
        <v>1830</v>
      </c>
      <c r="E1526" s="385"/>
      <c r="F1526" s="385"/>
      <c r="G1526" s="385" t="s">
        <v>1834</v>
      </c>
      <c r="H1526" s="401" t="s">
        <v>2117</v>
      </c>
      <c r="I1526" s="385" t="s">
        <v>159</v>
      </c>
      <c r="J1526" s="489"/>
      <c r="K1526" s="450"/>
      <c r="L1526" s="450"/>
      <c r="M1526" s="490" t="s">
        <v>44</v>
      </c>
      <c r="N1526" s="438">
        <v>1.65</v>
      </c>
    </row>
    <row r="1527" spans="1:69" ht="30" hidden="1" customHeight="1" outlineLevel="2">
      <c r="A1527" s="438"/>
      <c r="B1527" s="490" t="s">
        <v>288</v>
      </c>
      <c r="C1527" s="452" t="s">
        <v>1976</v>
      </c>
      <c r="D1527" s="385" t="s">
        <v>1830</v>
      </c>
      <c r="E1527" s="385"/>
      <c r="F1527" s="385"/>
      <c r="G1527" s="385" t="s">
        <v>1834</v>
      </c>
      <c r="H1527" s="401" t="s">
        <v>2117</v>
      </c>
      <c r="I1527" s="385" t="s">
        <v>162</v>
      </c>
      <c r="J1527" s="489"/>
      <c r="K1527" s="450"/>
      <c r="L1527" s="450"/>
      <c r="M1527" s="490" t="s">
        <v>44</v>
      </c>
      <c r="N1527" s="438">
        <v>0.02</v>
      </c>
    </row>
    <row r="1528" spans="1:69" ht="30" hidden="1" customHeight="1" outlineLevel="2">
      <c r="A1528" s="450"/>
      <c r="B1528" s="490" t="s">
        <v>288</v>
      </c>
      <c r="C1528" s="452" t="s">
        <v>1976</v>
      </c>
      <c r="D1528" s="385" t="s">
        <v>1830</v>
      </c>
      <c r="E1528" s="385"/>
      <c r="F1528" s="385"/>
      <c r="G1528" s="385" t="s">
        <v>1835</v>
      </c>
      <c r="H1528" s="401" t="s">
        <v>2118</v>
      </c>
      <c r="I1528" s="385" t="s">
        <v>165</v>
      </c>
      <c r="J1528" s="489"/>
      <c r="K1528" s="450"/>
      <c r="L1528" s="450"/>
      <c r="M1528" s="490" t="s">
        <v>44</v>
      </c>
      <c r="N1528" s="438">
        <v>2.2200000000000002</v>
      </c>
    </row>
    <row r="1529" spans="1:69" s="384" customFormat="1" outlineLevel="1" collapsed="1">
      <c r="A1529" s="489" t="s">
        <v>3486</v>
      </c>
      <c r="B1529" s="490" t="s">
        <v>288</v>
      </c>
      <c r="C1529" s="490" t="s">
        <v>1976</v>
      </c>
      <c r="D1529" s="398" t="s">
        <v>1830</v>
      </c>
      <c r="E1529" s="398" t="s">
        <v>3487</v>
      </c>
      <c r="F1529" s="385" t="s">
        <v>1211</v>
      </c>
      <c r="G1529" s="385" t="s">
        <v>1889</v>
      </c>
      <c r="H1529" s="401" t="s">
        <v>3488</v>
      </c>
      <c r="I1529" s="385" t="str">
        <f>CONCATENATE(I1530," ",N1530,M1530," ",)</f>
        <v xml:space="preserve">Ручная расчистка  1Га </v>
      </c>
      <c r="J1529" s="385" t="s">
        <v>365</v>
      </c>
      <c r="K1529" s="467">
        <v>44317</v>
      </c>
      <c r="L1529" s="470">
        <v>44408</v>
      </c>
      <c r="M1529" s="490"/>
      <c r="N1529" s="490"/>
    </row>
    <row r="1530" spans="1:69" hidden="1" outlineLevel="2">
      <c r="A1530" s="489"/>
      <c r="B1530" s="490" t="s">
        <v>288</v>
      </c>
      <c r="C1530" s="452" t="s">
        <v>1976</v>
      </c>
      <c r="D1530" s="385" t="s">
        <v>1830</v>
      </c>
      <c r="E1530" s="398"/>
      <c r="F1530" s="451" t="s">
        <v>1211</v>
      </c>
      <c r="G1530" s="459" t="s">
        <v>1889</v>
      </c>
      <c r="H1530" s="401" t="s">
        <v>3489</v>
      </c>
      <c r="I1530" s="385" t="s">
        <v>409</v>
      </c>
      <c r="J1530" s="385"/>
      <c r="K1530" s="467"/>
      <c r="L1530" s="467"/>
      <c r="M1530" s="490" t="s">
        <v>1997</v>
      </c>
      <c r="N1530" s="490">
        <v>1</v>
      </c>
    </row>
    <row r="1531" spans="1:69" s="384" customFormat="1" outlineLevel="1" collapsed="1">
      <c r="A1531" s="489" t="s">
        <v>3490</v>
      </c>
      <c r="B1531" s="490" t="s">
        <v>288</v>
      </c>
      <c r="C1531" s="490" t="s">
        <v>1989</v>
      </c>
      <c r="D1531" s="398" t="s">
        <v>1830</v>
      </c>
      <c r="E1531" s="398" t="s">
        <v>3491</v>
      </c>
      <c r="F1531" s="385" t="s">
        <v>1211</v>
      </c>
      <c r="G1531" s="385" t="s">
        <v>1889</v>
      </c>
      <c r="H1531" s="401" t="s">
        <v>3492</v>
      </c>
      <c r="I1531" s="385" t="str">
        <f>CONCATENATE(I1532," ",N1532,M1532," ",)</f>
        <v xml:space="preserve">Ручная расчистка  1,68Га </v>
      </c>
      <c r="J1531" s="385" t="s">
        <v>365</v>
      </c>
      <c r="K1531" s="467">
        <v>44317</v>
      </c>
      <c r="L1531" s="470">
        <v>44408</v>
      </c>
      <c r="M1531" s="490"/>
      <c r="N1531" s="490"/>
    </row>
    <row r="1532" spans="1:69" hidden="1" outlineLevel="2">
      <c r="A1532" s="489"/>
      <c r="B1532" s="385" t="s">
        <v>52</v>
      </c>
      <c r="C1532" s="452" t="s">
        <v>1989</v>
      </c>
      <c r="D1532" s="385" t="s">
        <v>1830</v>
      </c>
      <c r="E1532" s="398"/>
      <c r="F1532" s="451" t="s">
        <v>1211</v>
      </c>
      <c r="G1532" s="459" t="s">
        <v>1889</v>
      </c>
      <c r="H1532" s="401" t="s">
        <v>3493</v>
      </c>
      <c r="I1532" s="385" t="s">
        <v>409</v>
      </c>
      <c r="J1532" s="385"/>
      <c r="K1532" s="467"/>
      <c r="L1532" s="467"/>
      <c r="M1532" s="490" t="s">
        <v>1997</v>
      </c>
      <c r="N1532" s="431">
        <v>1.68</v>
      </c>
    </row>
    <row r="1533" spans="1:69">
      <c r="A1533" s="403" t="s">
        <v>327</v>
      </c>
      <c r="B1533" s="403"/>
      <c r="C1533" s="403"/>
      <c r="D1533" s="403"/>
      <c r="E1533" s="490"/>
      <c r="F1533" s="385"/>
      <c r="G1533" s="385"/>
      <c r="H1533" s="539" t="s">
        <v>321</v>
      </c>
      <c r="I1533" s="385"/>
      <c r="J1533" s="489"/>
      <c r="K1533" s="450"/>
      <c r="L1533" s="450"/>
      <c r="M1533" s="391"/>
      <c r="N1533" s="391"/>
    </row>
    <row r="1534" spans="1:69" s="433" customFormat="1" outlineLevel="1" collapsed="1">
      <c r="A1534" s="403" t="s">
        <v>839</v>
      </c>
      <c r="B1534" s="403"/>
      <c r="C1534" s="403"/>
      <c r="D1534" s="403"/>
      <c r="E1534" s="490"/>
      <c r="F1534" s="385"/>
      <c r="G1534" s="385"/>
      <c r="H1534" s="539" t="s">
        <v>75</v>
      </c>
      <c r="I1534" s="385"/>
      <c r="J1534" s="489"/>
      <c r="K1534" s="450"/>
      <c r="L1534" s="450"/>
      <c r="M1534" s="432"/>
      <c r="N1534" s="432"/>
      <c r="O1534" s="377"/>
      <c r="P1534" s="377"/>
      <c r="Q1534" s="377"/>
      <c r="R1534" s="377"/>
      <c r="S1534" s="377"/>
      <c r="T1534" s="377"/>
      <c r="U1534" s="377"/>
      <c r="V1534" s="377"/>
      <c r="W1534" s="377"/>
      <c r="X1534" s="377"/>
      <c r="Y1534" s="377"/>
      <c r="Z1534" s="377"/>
      <c r="AA1534" s="377"/>
      <c r="AB1534" s="377"/>
      <c r="AC1534" s="377"/>
      <c r="AD1534" s="377"/>
      <c r="AE1534" s="377"/>
      <c r="AF1534" s="377"/>
      <c r="AG1534" s="377"/>
      <c r="AH1534" s="377"/>
      <c r="AI1534" s="377"/>
      <c r="AJ1534" s="377"/>
      <c r="AK1534" s="377"/>
      <c r="AL1534" s="377"/>
      <c r="AM1534" s="377"/>
      <c r="AN1534" s="377"/>
      <c r="AO1534" s="377"/>
      <c r="AP1534" s="377"/>
      <c r="AQ1534" s="377"/>
      <c r="AR1534" s="377"/>
      <c r="AS1534" s="377"/>
      <c r="AT1534" s="377"/>
      <c r="AU1534" s="377"/>
      <c r="AV1534" s="377"/>
      <c r="AW1534" s="377"/>
      <c r="AX1534" s="377"/>
      <c r="AY1534" s="377"/>
      <c r="AZ1534" s="377"/>
      <c r="BA1534" s="377"/>
      <c r="BB1534" s="377"/>
      <c r="BC1534" s="377"/>
      <c r="BD1534" s="377"/>
      <c r="BE1534" s="377"/>
      <c r="BF1534" s="377"/>
      <c r="BG1534" s="377"/>
      <c r="BH1534" s="377"/>
      <c r="BI1534" s="377"/>
      <c r="BJ1534" s="377"/>
      <c r="BK1534" s="377"/>
      <c r="BL1534" s="377"/>
      <c r="BM1534" s="377"/>
      <c r="BN1534" s="377"/>
      <c r="BO1534" s="377"/>
      <c r="BP1534" s="377"/>
      <c r="BQ1534" s="377"/>
    </row>
    <row r="1535" spans="1:69" s="384" customFormat="1" ht="186.75" hidden="1" customHeight="1" outlineLevel="2" collapsed="1">
      <c r="A1535" s="489" t="s">
        <v>1266</v>
      </c>
      <c r="B1535" s="490" t="s">
        <v>298</v>
      </c>
      <c r="C1535" s="490" t="s">
        <v>1829</v>
      </c>
      <c r="D1535" s="398" t="s">
        <v>1830</v>
      </c>
      <c r="E1535" s="490" t="s">
        <v>2122</v>
      </c>
      <c r="F1535" s="483" t="s">
        <v>2123</v>
      </c>
      <c r="G1535" s="483" t="s">
        <v>2124</v>
      </c>
      <c r="H1535" s="482" t="s">
        <v>2125</v>
      </c>
      <c r="I1535" s="483" t="str">
        <f>CONCATENATE(I1536," ",N1536,M1536," ",I1537," ",N1537,M1537," "," ",I1538," ",N1538,M1538," "," ",I1539," ",N1539,M1539," "," ",I1540," ",N1540,M1540," "," ",I1541," ",N1541,M1541)</f>
        <v>Демонтаж опор 19шт. Установка опор 17шт.  Демонтаж провода (по трассе) 0,577км  Монтаж провода (по трассе) 0,577км  Устройство заземлений 17шт  Установка ПЗУ 108шт.</v>
      </c>
      <c r="J1535" s="483" t="s">
        <v>365</v>
      </c>
      <c r="K1535" s="552">
        <v>44348</v>
      </c>
      <c r="L1535" s="552">
        <v>44469</v>
      </c>
      <c r="M1535" s="542"/>
      <c r="N1535" s="542"/>
    </row>
    <row r="1536" spans="1:69" ht="40.5" hidden="1" outlineLevel="3">
      <c r="A1536" s="438"/>
      <c r="B1536" s="438"/>
      <c r="C1536" s="438"/>
      <c r="D1536" s="408"/>
      <c r="E1536" s="385"/>
      <c r="F1536" s="483"/>
      <c r="G1536" s="483"/>
      <c r="H1536" s="482" t="s">
        <v>3494</v>
      </c>
      <c r="I1536" s="483" t="s">
        <v>112</v>
      </c>
      <c r="J1536" s="484"/>
      <c r="K1536" s="487"/>
      <c r="L1536" s="487"/>
      <c r="M1536" s="424" t="s">
        <v>37</v>
      </c>
      <c r="N1536" s="424">
        <v>19</v>
      </c>
    </row>
    <row r="1537" spans="1:14" ht="40.5" hidden="1" outlineLevel="3">
      <c r="A1537" s="438"/>
      <c r="B1537" s="438"/>
      <c r="C1537" s="438"/>
      <c r="D1537" s="408"/>
      <c r="E1537" s="385"/>
      <c r="F1537" s="483"/>
      <c r="G1537" s="430"/>
      <c r="H1537" s="482" t="s">
        <v>3495</v>
      </c>
      <c r="I1537" s="483" t="s">
        <v>123</v>
      </c>
      <c r="J1537" s="484"/>
      <c r="K1537" s="487"/>
      <c r="L1537" s="487"/>
      <c r="M1537" s="424" t="s">
        <v>37</v>
      </c>
      <c r="N1537" s="424">
        <v>17</v>
      </c>
    </row>
    <row r="1538" spans="1:14" ht="40.5" hidden="1" outlineLevel="3">
      <c r="A1538" s="438"/>
      <c r="B1538" s="438"/>
      <c r="C1538" s="438"/>
      <c r="D1538" s="408"/>
      <c r="E1538" s="385"/>
      <c r="F1538" s="483"/>
      <c r="G1538" s="483"/>
      <c r="H1538" s="482" t="s">
        <v>3494</v>
      </c>
      <c r="I1538" s="483" t="s">
        <v>126</v>
      </c>
      <c r="J1538" s="484"/>
      <c r="K1538" s="487"/>
      <c r="L1538" s="487"/>
      <c r="M1538" s="424" t="s">
        <v>308</v>
      </c>
      <c r="N1538" s="424">
        <v>0.57699999999999996</v>
      </c>
    </row>
    <row r="1539" spans="1:14" ht="40.5" hidden="1" outlineLevel="3">
      <c r="A1539" s="438"/>
      <c r="B1539" s="438"/>
      <c r="C1539" s="438"/>
      <c r="D1539" s="408"/>
      <c r="E1539" s="385"/>
      <c r="F1539" s="483"/>
      <c r="G1539" s="430"/>
      <c r="H1539" s="482" t="s">
        <v>3495</v>
      </c>
      <c r="I1539" s="483" t="s">
        <v>40</v>
      </c>
      <c r="J1539" s="484"/>
      <c r="K1539" s="487"/>
      <c r="L1539" s="487"/>
      <c r="M1539" s="424" t="s">
        <v>308</v>
      </c>
      <c r="N1539" s="424">
        <v>0.57699999999999996</v>
      </c>
    </row>
    <row r="1540" spans="1:14" ht="40.5" hidden="1" outlineLevel="3">
      <c r="A1540" s="438"/>
      <c r="B1540" s="490"/>
      <c r="C1540" s="398"/>
      <c r="D1540" s="399"/>
      <c r="E1540" s="385"/>
      <c r="F1540" s="483"/>
      <c r="G1540" s="483"/>
      <c r="H1540" s="482" t="s">
        <v>3495</v>
      </c>
      <c r="I1540" s="483" t="s">
        <v>228</v>
      </c>
      <c r="J1540" s="484"/>
      <c r="K1540" s="487"/>
      <c r="L1540" s="487"/>
      <c r="M1540" s="424" t="s">
        <v>813</v>
      </c>
      <c r="N1540" s="424">
        <v>17</v>
      </c>
    </row>
    <row r="1541" spans="1:14" ht="99.75" hidden="1" customHeight="1" outlineLevel="3">
      <c r="A1541" s="450"/>
      <c r="B1541" s="438"/>
      <c r="C1541" s="398"/>
      <c r="D1541" s="455"/>
      <c r="E1541" s="385"/>
      <c r="F1541" s="483" t="s">
        <v>1941</v>
      </c>
      <c r="G1541" s="483" t="s">
        <v>1942</v>
      </c>
      <c r="H1541" s="482" t="s">
        <v>3745</v>
      </c>
      <c r="I1541" s="516" t="s">
        <v>1946</v>
      </c>
      <c r="J1541" s="484"/>
      <c r="K1541" s="487"/>
      <c r="L1541" s="487"/>
      <c r="M1541" s="424" t="s">
        <v>37</v>
      </c>
      <c r="N1541" s="424">
        <v>108</v>
      </c>
    </row>
    <row r="1542" spans="1:14" s="384" customFormat="1" ht="40.5" hidden="1" outlineLevel="2" collapsed="1">
      <c r="A1542" s="454" t="s">
        <v>1267</v>
      </c>
      <c r="B1542" s="452" t="s">
        <v>298</v>
      </c>
      <c r="C1542" s="452" t="s">
        <v>2126</v>
      </c>
      <c r="D1542" s="490" t="s">
        <v>1830</v>
      </c>
      <c r="E1542" s="490" t="s">
        <v>2127</v>
      </c>
      <c r="F1542" s="385" t="s">
        <v>2128</v>
      </c>
      <c r="G1542" s="456" t="s">
        <v>2129</v>
      </c>
      <c r="H1542" s="401" t="s">
        <v>2130</v>
      </c>
      <c r="I1542" s="385" t="str">
        <f>CONCATENATE(I1543," ",N1543,M1543," ",I1544," ",N1544,M1544," "," ",I1545," ",N1545,M1545," ",I1546," ",N1546,M1546," ",I1547," ",N1547,M1547," ",)</f>
        <v xml:space="preserve">Замена опор 1шт Замена опор 3шт  Замена РЛНД 1шт Установка разрядников 3шт Устройство заземлений 1шт </v>
      </c>
      <c r="J1542" s="489" t="s">
        <v>365</v>
      </c>
      <c r="K1542" s="450">
        <v>44287</v>
      </c>
      <c r="L1542" s="474">
        <v>44347</v>
      </c>
      <c r="M1542" s="540"/>
      <c r="N1542" s="540"/>
    </row>
    <row r="1543" spans="1:14" hidden="1" outlineLevel="3">
      <c r="A1543" s="438"/>
      <c r="B1543" s="457" t="s">
        <v>298</v>
      </c>
      <c r="C1543" s="473" t="s">
        <v>2126</v>
      </c>
      <c r="D1543" s="490" t="s">
        <v>1830</v>
      </c>
      <c r="E1543" s="385"/>
      <c r="F1543" s="385"/>
      <c r="G1543" s="385"/>
      <c r="H1543" s="401" t="s">
        <v>2131</v>
      </c>
      <c r="I1543" s="402" t="s">
        <v>39</v>
      </c>
      <c r="J1543" s="489"/>
      <c r="K1543" s="450"/>
      <c r="L1543" s="450"/>
      <c r="M1543" s="490" t="s">
        <v>813</v>
      </c>
      <c r="N1543" s="490">
        <v>1</v>
      </c>
    </row>
    <row r="1544" spans="1:14" hidden="1" outlineLevel="3">
      <c r="A1544" s="438"/>
      <c r="B1544" s="457" t="s">
        <v>298</v>
      </c>
      <c r="C1544" s="473" t="s">
        <v>2126</v>
      </c>
      <c r="D1544" s="490" t="s">
        <v>1830</v>
      </c>
      <c r="E1544" s="385"/>
      <c r="F1544" s="385"/>
      <c r="G1544" s="408"/>
      <c r="H1544" s="401" t="s">
        <v>2132</v>
      </c>
      <c r="I1544" s="402" t="s">
        <v>39</v>
      </c>
      <c r="J1544" s="489"/>
      <c r="K1544" s="450"/>
      <c r="L1544" s="450"/>
      <c r="M1544" s="490" t="s">
        <v>813</v>
      </c>
      <c r="N1544" s="490">
        <v>3</v>
      </c>
    </row>
    <row r="1545" spans="1:14" hidden="1" outlineLevel="3">
      <c r="A1545" s="450"/>
      <c r="B1545" s="457" t="s">
        <v>298</v>
      </c>
      <c r="C1545" s="473" t="s">
        <v>2126</v>
      </c>
      <c r="D1545" s="490" t="s">
        <v>1830</v>
      </c>
      <c r="E1545" s="385"/>
      <c r="F1545" s="385"/>
      <c r="G1545" s="385"/>
      <c r="H1545" s="401" t="s">
        <v>2131</v>
      </c>
      <c r="I1545" s="402" t="s">
        <v>187</v>
      </c>
      <c r="J1545" s="489"/>
      <c r="K1545" s="450"/>
      <c r="L1545" s="450"/>
      <c r="M1545" s="490" t="s">
        <v>813</v>
      </c>
      <c r="N1545" s="403">
        <v>1</v>
      </c>
    </row>
    <row r="1546" spans="1:14" hidden="1" outlineLevel="3">
      <c r="A1546" s="450"/>
      <c r="B1546" s="457" t="s">
        <v>298</v>
      </c>
      <c r="C1546" s="473" t="s">
        <v>2126</v>
      </c>
      <c r="D1546" s="490" t="s">
        <v>1830</v>
      </c>
      <c r="E1546" s="385"/>
      <c r="F1546" s="385"/>
      <c r="G1546" s="385"/>
      <c r="H1546" s="401" t="s">
        <v>2131</v>
      </c>
      <c r="I1546" s="402" t="s">
        <v>2133</v>
      </c>
      <c r="J1546" s="489"/>
      <c r="K1546" s="450"/>
      <c r="L1546" s="450"/>
      <c r="M1546" s="490" t="s">
        <v>813</v>
      </c>
      <c r="N1546" s="403">
        <v>3</v>
      </c>
    </row>
    <row r="1547" spans="1:14" hidden="1" outlineLevel="3">
      <c r="A1547" s="450"/>
      <c r="B1547" s="457" t="s">
        <v>298</v>
      </c>
      <c r="C1547" s="473" t="s">
        <v>2126</v>
      </c>
      <c r="D1547" s="490" t="s">
        <v>1830</v>
      </c>
      <c r="E1547" s="385"/>
      <c r="F1547" s="385"/>
      <c r="G1547" s="385"/>
      <c r="H1547" s="401" t="s">
        <v>2131</v>
      </c>
      <c r="I1547" s="385" t="s">
        <v>228</v>
      </c>
      <c r="J1547" s="489"/>
      <c r="K1547" s="450"/>
      <c r="L1547" s="450"/>
      <c r="M1547" s="490" t="s">
        <v>813</v>
      </c>
      <c r="N1547" s="403">
        <v>1</v>
      </c>
    </row>
    <row r="1548" spans="1:14" s="384" customFormat="1" ht="132" hidden="1" customHeight="1" outlineLevel="2" collapsed="1">
      <c r="A1548" s="454" t="s">
        <v>1268</v>
      </c>
      <c r="B1548" s="452" t="s">
        <v>298</v>
      </c>
      <c r="C1548" s="452" t="s">
        <v>2126</v>
      </c>
      <c r="D1548" s="490" t="s">
        <v>1830</v>
      </c>
      <c r="E1548" s="490" t="s">
        <v>2134</v>
      </c>
      <c r="F1548" s="456" t="s">
        <v>2135</v>
      </c>
      <c r="G1548" s="456" t="s">
        <v>2136</v>
      </c>
      <c r="H1548" s="401" t="s">
        <v>2137</v>
      </c>
      <c r="I1548" s="385" t="str">
        <f>CONCATENATE(I1549," ",N1549,M1549)</f>
        <v>Установка разрядников 3шт</v>
      </c>
      <c r="J1548" s="489" t="s">
        <v>365</v>
      </c>
      <c r="K1548" s="450">
        <v>44317</v>
      </c>
      <c r="L1548" s="474">
        <v>44347</v>
      </c>
      <c r="M1548" s="540"/>
      <c r="N1548" s="540"/>
    </row>
    <row r="1549" spans="1:14" hidden="1" outlineLevel="3">
      <c r="A1549" s="438"/>
      <c r="B1549" s="457" t="s">
        <v>298</v>
      </c>
      <c r="C1549" s="473" t="s">
        <v>2126</v>
      </c>
      <c r="D1549" s="490" t="s">
        <v>1830</v>
      </c>
      <c r="E1549" s="385"/>
      <c r="F1549" s="385"/>
      <c r="G1549" s="385"/>
      <c r="H1549" s="401" t="s">
        <v>2138</v>
      </c>
      <c r="I1549" s="402" t="s">
        <v>2133</v>
      </c>
      <c r="J1549" s="489"/>
      <c r="K1549" s="450"/>
      <c r="L1549" s="450"/>
      <c r="M1549" s="490" t="s">
        <v>813</v>
      </c>
      <c r="N1549" s="490">
        <v>3</v>
      </c>
    </row>
    <row r="1550" spans="1:14" s="384" customFormat="1" ht="147.75" hidden="1" customHeight="1" outlineLevel="2" collapsed="1">
      <c r="A1550" s="454" t="s">
        <v>1269</v>
      </c>
      <c r="B1550" s="490" t="s">
        <v>298</v>
      </c>
      <c r="C1550" s="490" t="s">
        <v>2126</v>
      </c>
      <c r="D1550" s="490" t="s">
        <v>1830</v>
      </c>
      <c r="E1550" s="490" t="s">
        <v>2139</v>
      </c>
      <c r="F1550" s="456" t="s">
        <v>2135</v>
      </c>
      <c r="G1550" s="456" t="s">
        <v>2136</v>
      </c>
      <c r="H1550" s="401" t="s">
        <v>2140</v>
      </c>
      <c r="I1550" s="385" t="str">
        <f>CONCATENATE(I1551," ",N1551,M1551)</f>
        <v>Установка разрядников 9шт</v>
      </c>
      <c r="J1550" s="489" t="s">
        <v>365</v>
      </c>
      <c r="K1550" s="450">
        <v>44287</v>
      </c>
      <c r="L1550" s="474">
        <v>44347</v>
      </c>
      <c r="M1550" s="540"/>
      <c r="N1550" s="540"/>
    </row>
    <row r="1551" spans="1:14" ht="23.25" hidden="1" customHeight="1" outlineLevel="3">
      <c r="A1551" s="438"/>
      <c r="B1551" s="457" t="s">
        <v>298</v>
      </c>
      <c r="C1551" s="473" t="s">
        <v>2126</v>
      </c>
      <c r="D1551" s="490" t="s">
        <v>1830</v>
      </c>
      <c r="E1551" s="385"/>
      <c r="F1551" s="385"/>
      <c r="G1551" s="385"/>
      <c r="H1551" s="401" t="s">
        <v>2141</v>
      </c>
      <c r="I1551" s="402" t="s">
        <v>2133</v>
      </c>
      <c r="J1551" s="489"/>
      <c r="K1551" s="450"/>
      <c r="L1551" s="450"/>
      <c r="M1551" s="490" t="s">
        <v>813</v>
      </c>
      <c r="N1551" s="490">
        <v>9</v>
      </c>
    </row>
    <row r="1552" spans="1:14" s="384" customFormat="1" ht="129.75" hidden="1" customHeight="1" outlineLevel="2" collapsed="1">
      <c r="A1552" s="454" t="s">
        <v>1270</v>
      </c>
      <c r="B1552" s="452" t="s">
        <v>298</v>
      </c>
      <c r="C1552" s="490" t="s">
        <v>2126</v>
      </c>
      <c r="D1552" s="490" t="s">
        <v>1830</v>
      </c>
      <c r="E1552" s="490" t="s">
        <v>2142</v>
      </c>
      <c r="F1552" s="456" t="s">
        <v>2135</v>
      </c>
      <c r="G1552" s="456" t="s">
        <v>2136</v>
      </c>
      <c r="H1552" s="401" t="s">
        <v>2143</v>
      </c>
      <c r="I1552" s="385" t="str">
        <f>CONCATENATE(I1553," ",N1553,M1553)</f>
        <v>Установка разрядников 6шт</v>
      </c>
      <c r="J1552" s="489" t="s">
        <v>365</v>
      </c>
      <c r="K1552" s="450">
        <v>44287</v>
      </c>
      <c r="L1552" s="474">
        <v>44347</v>
      </c>
      <c r="M1552" s="540"/>
      <c r="N1552" s="540"/>
    </row>
    <row r="1553" spans="1:14" hidden="1" outlineLevel="3">
      <c r="A1553" s="438"/>
      <c r="B1553" s="457" t="s">
        <v>298</v>
      </c>
      <c r="C1553" s="473" t="s">
        <v>2126</v>
      </c>
      <c r="D1553" s="490" t="s">
        <v>1830</v>
      </c>
      <c r="E1553" s="385"/>
      <c r="F1553" s="385"/>
      <c r="G1553" s="385"/>
      <c r="H1553" s="401" t="s">
        <v>2144</v>
      </c>
      <c r="I1553" s="402" t="s">
        <v>2133</v>
      </c>
      <c r="J1553" s="489"/>
      <c r="K1553" s="450"/>
      <c r="L1553" s="450"/>
      <c r="M1553" s="490" t="s">
        <v>813</v>
      </c>
      <c r="N1553" s="490">
        <v>6</v>
      </c>
    </row>
    <row r="1554" spans="1:14" s="384" customFormat="1" ht="144.75" hidden="1" customHeight="1" outlineLevel="2" collapsed="1">
      <c r="A1554" s="454" t="s">
        <v>1271</v>
      </c>
      <c r="B1554" s="452" t="s">
        <v>298</v>
      </c>
      <c r="C1554" s="490" t="s">
        <v>2126</v>
      </c>
      <c r="D1554" s="490" t="s">
        <v>1830</v>
      </c>
      <c r="E1554" s="490" t="s">
        <v>2145</v>
      </c>
      <c r="F1554" s="456" t="s">
        <v>2135</v>
      </c>
      <c r="G1554" s="456" t="s">
        <v>2136</v>
      </c>
      <c r="H1554" s="401" t="s">
        <v>2146</v>
      </c>
      <c r="I1554" s="385" t="str">
        <f>CONCATENATE(I1555," ",N1555,M1555)</f>
        <v>Установка разрядников 3шт</v>
      </c>
      <c r="J1554" s="489" t="s">
        <v>365</v>
      </c>
      <c r="K1554" s="450">
        <v>44317</v>
      </c>
      <c r="L1554" s="474">
        <v>44347</v>
      </c>
      <c r="M1554" s="540"/>
      <c r="N1554" s="540"/>
    </row>
    <row r="1555" spans="1:14" hidden="1" outlineLevel="3">
      <c r="A1555" s="438"/>
      <c r="B1555" s="457" t="s">
        <v>298</v>
      </c>
      <c r="C1555" s="473" t="s">
        <v>2126</v>
      </c>
      <c r="D1555" s="490" t="s">
        <v>1830</v>
      </c>
      <c r="E1555" s="385"/>
      <c r="F1555" s="385"/>
      <c r="G1555" s="385"/>
      <c r="H1555" s="401" t="s">
        <v>2147</v>
      </c>
      <c r="I1555" s="402" t="s">
        <v>2133</v>
      </c>
      <c r="J1555" s="489"/>
      <c r="K1555" s="450"/>
      <c r="L1555" s="450"/>
      <c r="M1555" s="490" t="s">
        <v>813</v>
      </c>
      <c r="N1555" s="490">
        <v>3</v>
      </c>
    </row>
    <row r="1556" spans="1:14" s="384" customFormat="1" ht="148.5" hidden="1" customHeight="1" outlineLevel="2" collapsed="1">
      <c r="A1556" s="454" t="s">
        <v>1272</v>
      </c>
      <c r="B1556" s="452" t="s">
        <v>298</v>
      </c>
      <c r="C1556" s="490" t="s">
        <v>2126</v>
      </c>
      <c r="D1556" s="490" t="s">
        <v>1830</v>
      </c>
      <c r="E1556" s="490" t="s">
        <v>2148</v>
      </c>
      <c r="F1556" s="456" t="s">
        <v>2135</v>
      </c>
      <c r="G1556" s="456" t="s">
        <v>2136</v>
      </c>
      <c r="H1556" s="401" t="s">
        <v>2149</v>
      </c>
      <c r="I1556" s="385" t="str">
        <f>CONCATENATE(I1557," ",N1557,M1557)</f>
        <v>Установка разрядников 6шт</v>
      </c>
      <c r="J1556" s="489" t="s">
        <v>365</v>
      </c>
      <c r="K1556" s="450">
        <v>44287</v>
      </c>
      <c r="L1556" s="474">
        <v>44347</v>
      </c>
      <c r="M1556" s="540"/>
      <c r="N1556" s="540"/>
    </row>
    <row r="1557" spans="1:14" ht="24" hidden="1" customHeight="1" outlineLevel="3">
      <c r="A1557" s="438"/>
      <c r="B1557" s="457" t="s">
        <v>298</v>
      </c>
      <c r="C1557" s="473" t="s">
        <v>2126</v>
      </c>
      <c r="D1557" s="490" t="s">
        <v>1830</v>
      </c>
      <c r="E1557" s="385"/>
      <c r="F1557" s="385"/>
      <c r="G1557" s="385"/>
      <c r="H1557" s="401" t="s">
        <v>2150</v>
      </c>
      <c r="I1557" s="402" t="s">
        <v>2133</v>
      </c>
      <c r="J1557" s="489"/>
      <c r="K1557" s="450"/>
      <c r="L1557" s="450"/>
      <c r="M1557" s="490" t="s">
        <v>813</v>
      </c>
      <c r="N1557" s="490">
        <v>6</v>
      </c>
    </row>
    <row r="1558" spans="1:14" s="384" customFormat="1" ht="141" hidden="1" customHeight="1" outlineLevel="2" collapsed="1">
      <c r="A1558" s="454" t="s">
        <v>1273</v>
      </c>
      <c r="B1558" s="452" t="s">
        <v>298</v>
      </c>
      <c r="C1558" s="490" t="s">
        <v>2126</v>
      </c>
      <c r="D1558" s="490" t="s">
        <v>1830</v>
      </c>
      <c r="E1558" s="490" t="s">
        <v>2151</v>
      </c>
      <c r="F1558" s="456" t="s">
        <v>2135</v>
      </c>
      <c r="G1558" s="456" t="s">
        <v>2136</v>
      </c>
      <c r="H1558" s="401" t="s">
        <v>2152</v>
      </c>
      <c r="I1558" s="385" t="str">
        <f>CONCATENATE(I1559," ",N1559,M1559)</f>
        <v>Установка разрядников 6шт</v>
      </c>
      <c r="J1558" s="489" t="s">
        <v>365</v>
      </c>
      <c r="K1558" s="450">
        <v>44287</v>
      </c>
      <c r="L1558" s="474">
        <v>44347</v>
      </c>
      <c r="M1558" s="540"/>
      <c r="N1558" s="540"/>
    </row>
    <row r="1559" spans="1:14" hidden="1" outlineLevel="3">
      <c r="A1559" s="438"/>
      <c r="B1559" s="457" t="s">
        <v>298</v>
      </c>
      <c r="C1559" s="473" t="s">
        <v>2126</v>
      </c>
      <c r="D1559" s="490" t="s">
        <v>1830</v>
      </c>
      <c r="E1559" s="385"/>
      <c r="F1559" s="385"/>
      <c r="G1559" s="385"/>
      <c r="H1559" s="401" t="s">
        <v>2153</v>
      </c>
      <c r="I1559" s="402" t="s">
        <v>2133</v>
      </c>
      <c r="J1559" s="489"/>
      <c r="K1559" s="450"/>
      <c r="L1559" s="450"/>
      <c r="M1559" s="490" t="s">
        <v>813</v>
      </c>
      <c r="N1559" s="490">
        <v>6</v>
      </c>
    </row>
    <row r="1560" spans="1:14" s="384" customFormat="1" ht="141" hidden="1" customHeight="1" outlineLevel="2" collapsed="1">
      <c r="A1560" s="454" t="s">
        <v>1274</v>
      </c>
      <c r="B1560" s="452" t="s">
        <v>298</v>
      </c>
      <c r="C1560" s="490" t="s">
        <v>2126</v>
      </c>
      <c r="D1560" s="490" t="s">
        <v>1830</v>
      </c>
      <c r="E1560" s="385" t="s">
        <v>2154</v>
      </c>
      <c r="F1560" s="385" t="s">
        <v>2155</v>
      </c>
      <c r="G1560" s="385" t="s">
        <v>3496</v>
      </c>
      <c r="H1560" s="401" t="s">
        <v>2156</v>
      </c>
      <c r="I1560" s="385" t="str">
        <f>CONCATENATE(I1561," ",N1561,M1561," ",I1562," ",N1562,M1562," ","")</f>
        <v xml:space="preserve">Замена опор 3шт Расчистка просек вручную 1,87га </v>
      </c>
      <c r="J1560" s="489" t="s">
        <v>365</v>
      </c>
      <c r="K1560" s="450">
        <v>44317</v>
      </c>
      <c r="L1560" s="474">
        <v>44469</v>
      </c>
      <c r="M1560" s="540"/>
      <c r="N1560" s="540"/>
    </row>
    <row r="1561" spans="1:14" ht="40.5" hidden="1" outlineLevel="3">
      <c r="A1561" s="438"/>
      <c r="B1561" s="457" t="s">
        <v>298</v>
      </c>
      <c r="C1561" s="473" t="s">
        <v>2126</v>
      </c>
      <c r="D1561" s="490" t="s">
        <v>1830</v>
      </c>
      <c r="E1561" s="385" t="s">
        <v>2157</v>
      </c>
      <c r="F1561" s="385" t="s">
        <v>2128</v>
      </c>
      <c r="G1561" s="385" t="s">
        <v>2158</v>
      </c>
      <c r="H1561" s="401" t="s">
        <v>2159</v>
      </c>
      <c r="I1561" s="402" t="s">
        <v>39</v>
      </c>
      <c r="J1561" s="489"/>
      <c r="K1561" s="450">
        <v>44317</v>
      </c>
      <c r="L1561" s="474">
        <v>44377</v>
      </c>
      <c r="M1561" s="490" t="s">
        <v>813</v>
      </c>
      <c r="N1561" s="490">
        <v>3</v>
      </c>
    </row>
    <row r="1562" spans="1:14" ht="66" hidden="1" customHeight="1" outlineLevel="3">
      <c r="A1562" s="438"/>
      <c r="B1562" s="457" t="s">
        <v>298</v>
      </c>
      <c r="C1562" s="473" t="s">
        <v>2126</v>
      </c>
      <c r="D1562" s="490" t="s">
        <v>1830</v>
      </c>
      <c r="E1562" s="385" t="s">
        <v>2160</v>
      </c>
      <c r="F1562" s="385" t="s">
        <v>2161</v>
      </c>
      <c r="G1562" s="385" t="s">
        <v>2162</v>
      </c>
      <c r="H1562" s="401" t="s">
        <v>2163</v>
      </c>
      <c r="I1562" s="402" t="s">
        <v>2164</v>
      </c>
      <c r="J1562" s="489"/>
      <c r="K1562" s="450">
        <v>44317</v>
      </c>
      <c r="L1562" s="474">
        <v>44469</v>
      </c>
      <c r="M1562" s="490" t="s">
        <v>117</v>
      </c>
      <c r="N1562" s="438">
        <v>1.87</v>
      </c>
    </row>
    <row r="1563" spans="1:14" s="384" customFormat="1" ht="40.5" hidden="1" outlineLevel="2" collapsed="1">
      <c r="A1563" s="476" t="s">
        <v>1275</v>
      </c>
      <c r="B1563" s="452" t="s">
        <v>298</v>
      </c>
      <c r="C1563" s="490" t="s">
        <v>1976</v>
      </c>
      <c r="D1563" s="490" t="s">
        <v>1830</v>
      </c>
      <c r="E1563" s="490" t="s">
        <v>2165</v>
      </c>
      <c r="F1563" s="385" t="s">
        <v>1941</v>
      </c>
      <c r="G1563" s="385"/>
      <c r="H1563" s="401" t="s">
        <v>2166</v>
      </c>
      <c r="I1563" s="385" t="str">
        <f>CONCATENATE(I1564," ",N1564,M1564)</f>
        <v>Расчистка просек вручную 5,2га</v>
      </c>
      <c r="J1563" s="489" t="s">
        <v>365</v>
      </c>
      <c r="K1563" s="450">
        <v>44287</v>
      </c>
      <c r="L1563" s="474">
        <v>44408</v>
      </c>
      <c r="M1563" s="540"/>
      <c r="N1563" s="540"/>
    </row>
    <row r="1564" spans="1:14" hidden="1" outlineLevel="3">
      <c r="A1564" s="438"/>
      <c r="B1564" s="457" t="s">
        <v>298</v>
      </c>
      <c r="C1564" s="408" t="s">
        <v>1976</v>
      </c>
      <c r="D1564" s="490" t="s">
        <v>1830</v>
      </c>
      <c r="E1564" s="385"/>
      <c r="F1564" s="385"/>
      <c r="G1564" s="385"/>
      <c r="H1564" s="401" t="s">
        <v>2167</v>
      </c>
      <c r="I1564" s="402" t="s">
        <v>2164</v>
      </c>
      <c r="J1564" s="489"/>
      <c r="K1564" s="450"/>
      <c r="L1564" s="450"/>
      <c r="M1564" s="490" t="s">
        <v>117</v>
      </c>
      <c r="N1564" s="490">
        <v>5.2</v>
      </c>
    </row>
    <row r="1565" spans="1:14" s="384" customFormat="1" ht="40.5" hidden="1" outlineLevel="2" collapsed="1">
      <c r="A1565" s="476" t="s">
        <v>1276</v>
      </c>
      <c r="B1565" s="452" t="s">
        <v>298</v>
      </c>
      <c r="C1565" s="452" t="s">
        <v>2168</v>
      </c>
      <c r="D1565" s="490" t="s">
        <v>1830</v>
      </c>
      <c r="E1565" s="490" t="s">
        <v>2171</v>
      </c>
      <c r="F1565" s="385" t="s">
        <v>2169</v>
      </c>
      <c r="G1565" s="385" t="s">
        <v>303</v>
      </c>
      <c r="H1565" s="401" t="s">
        <v>2172</v>
      </c>
      <c r="I1565" s="385" t="str">
        <f>CONCATENATE(I1566," ",N1566,M1566," ",I1567," ",N1567,M1567," "," ",I1568," ",N1568,M1568," ",I1569," ",N1569,M1569," ",)</f>
        <v xml:space="preserve">Замена опор 6шт. Замена опор 2шт.  Расчистка просек вручную 0,2га Перетяжка провода 1,62км </v>
      </c>
      <c r="J1565" s="489" t="s">
        <v>365</v>
      </c>
      <c r="K1565" s="450">
        <v>44409</v>
      </c>
      <c r="L1565" s="474">
        <v>44530</v>
      </c>
      <c r="M1565" s="540"/>
      <c r="N1565" s="540"/>
    </row>
    <row r="1566" spans="1:14" ht="28.5" hidden="1" customHeight="1" outlineLevel="3">
      <c r="A1566" s="475"/>
      <c r="B1566" s="476" t="s">
        <v>298</v>
      </c>
      <c r="C1566" s="473" t="s">
        <v>2168</v>
      </c>
      <c r="D1566" s="490" t="s">
        <v>1830</v>
      </c>
      <c r="E1566" s="385"/>
      <c r="F1566" s="385"/>
      <c r="G1566" s="385"/>
      <c r="H1566" s="401" t="s">
        <v>2173</v>
      </c>
      <c r="I1566" s="385" t="s">
        <v>39</v>
      </c>
      <c r="J1566" s="489"/>
      <c r="K1566" s="450"/>
      <c r="L1566" s="450"/>
      <c r="M1566" s="490" t="s">
        <v>37</v>
      </c>
      <c r="N1566" s="490">
        <v>6</v>
      </c>
    </row>
    <row r="1567" spans="1:14" ht="28.5" hidden="1" customHeight="1" outlineLevel="3">
      <c r="A1567" s="475"/>
      <c r="B1567" s="476" t="s">
        <v>298</v>
      </c>
      <c r="C1567" s="473" t="s">
        <v>2168</v>
      </c>
      <c r="D1567" s="490" t="s">
        <v>1830</v>
      </c>
      <c r="E1567" s="385"/>
      <c r="F1567" s="385"/>
      <c r="G1567" s="385"/>
      <c r="H1567" s="401" t="s">
        <v>2173</v>
      </c>
      <c r="I1567" s="385" t="s">
        <v>39</v>
      </c>
      <c r="J1567" s="489"/>
      <c r="K1567" s="450"/>
      <c r="L1567" s="450"/>
      <c r="M1567" s="490" t="s">
        <v>37</v>
      </c>
      <c r="N1567" s="490">
        <v>2</v>
      </c>
    </row>
    <row r="1568" spans="1:14" ht="28.5" hidden="1" customHeight="1" outlineLevel="3">
      <c r="A1568" s="412"/>
      <c r="B1568" s="476" t="s">
        <v>298</v>
      </c>
      <c r="C1568" s="473" t="s">
        <v>2168</v>
      </c>
      <c r="D1568" s="490" t="s">
        <v>1830</v>
      </c>
      <c r="E1568" s="385"/>
      <c r="F1568" s="385"/>
      <c r="G1568" s="380"/>
      <c r="H1568" s="401" t="s">
        <v>2174</v>
      </c>
      <c r="I1568" s="402" t="s">
        <v>2164</v>
      </c>
      <c r="J1568" s="489"/>
      <c r="K1568" s="450"/>
      <c r="L1568" s="450"/>
      <c r="M1568" s="490" t="s">
        <v>117</v>
      </c>
      <c r="N1568" s="490">
        <v>0.2</v>
      </c>
    </row>
    <row r="1569" spans="1:14" ht="28.5" hidden="1" customHeight="1" outlineLevel="3">
      <c r="A1569" s="412"/>
      <c r="B1569" s="476" t="s">
        <v>298</v>
      </c>
      <c r="C1569" s="473" t="s">
        <v>2168</v>
      </c>
      <c r="D1569" s="490" t="s">
        <v>1830</v>
      </c>
      <c r="E1569" s="385"/>
      <c r="F1569" s="385"/>
      <c r="G1569" s="408"/>
      <c r="H1569" s="401" t="s">
        <v>2175</v>
      </c>
      <c r="I1569" s="402" t="s">
        <v>197</v>
      </c>
      <c r="J1569" s="489"/>
      <c r="K1569" s="450"/>
      <c r="L1569" s="450"/>
      <c r="M1569" s="490" t="s">
        <v>308</v>
      </c>
      <c r="N1569" s="490">
        <v>1.62</v>
      </c>
    </row>
    <row r="1570" spans="1:14" s="384" customFormat="1" ht="82.5" hidden="1" customHeight="1" outlineLevel="2" collapsed="1">
      <c r="A1570" s="476" t="s">
        <v>1277</v>
      </c>
      <c r="B1570" s="452" t="s">
        <v>298</v>
      </c>
      <c r="C1570" s="490" t="s">
        <v>1989</v>
      </c>
      <c r="D1570" s="490" t="s">
        <v>1830</v>
      </c>
      <c r="E1570" s="490" t="s">
        <v>2176</v>
      </c>
      <c r="F1570" s="385" t="s">
        <v>2161</v>
      </c>
      <c r="G1570" s="385" t="s">
        <v>2162</v>
      </c>
      <c r="H1570" s="401" t="s">
        <v>2177</v>
      </c>
      <c r="I1570" s="385" t="str">
        <f>CONCATENATE(I1571," ",N1571,M1571," ",)</f>
        <v xml:space="preserve">Расчистка просек вручную 3,96га </v>
      </c>
      <c r="J1570" s="489" t="s">
        <v>365</v>
      </c>
      <c r="K1570" s="450">
        <v>44440</v>
      </c>
      <c r="L1570" s="474">
        <v>44530</v>
      </c>
      <c r="M1570" s="540"/>
      <c r="N1570" s="540"/>
    </row>
    <row r="1571" spans="1:14" ht="40.5" hidden="1" outlineLevel="3">
      <c r="A1571" s="475"/>
      <c r="B1571" s="476" t="s">
        <v>298</v>
      </c>
      <c r="C1571" s="408" t="s">
        <v>1989</v>
      </c>
      <c r="D1571" s="490" t="s">
        <v>1830</v>
      </c>
      <c r="E1571" s="385"/>
      <c r="F1571" s="385"/>
      <c r="G1571" s="385"/>
      <c r="H1571" s="401" t="s">
        <v>2178</v>
      </c>
      <c r="I1571" s="402" t="s">
        <v>2164</v>
      </c>
      <c r="J1571" s="489"/>
      <c r="K1571" s="450"/>
      <c r="L1571" s="450"/>
      <c r="M1571" s="490" t="s">
        <v>117</v>
      </c>
      <c r="N1571" s="490">
        <v>3.96</v>
      </c>
    </row>
    <row r="1572" spans="1:14" s="384" customFormat="1" ht="108" hidden="1" customHeight="1" outlineLevel="2" collapsed="1">
      <c r="A1572" s="476" t="s">
        <v>1278</v>
      </c>
      <c r="B1572" s="452" t="s">
        <v>298</v>
      </c>
      <c r="C1572" s="490" t="s">
        <v>2126</v>
      </c>
      <c r="D1572" s="490" t="s">
        <v>1830</v>
      </c>
      <c r="E1572" s="490" t="s">
        <v>2179</v>
      </c>
      <c r="F1572" s="385" t="s">
        <v>2161</v>
      </c>
      <c r="G1572" s="385" t="s">
        <v>2162</v>
      </c>
      <c r="H1572" s="401" t="s">
        <v>2180</v>
      </c>
      <c r="I1572" s="385" t="str">
        <f>CONCATENATE(I1573," ",N1573,M1573," ",I1574," ",N1574,M1574," ",)</f>
        <v xml:space="preserve">Расчистка просек механизмами 2,23га Расчистка просек вручную 0,01га </v>
      </c>
      <c r="J1572" s="489" t="s">
        <v>365</v>
      </c>
      <c r="K1572" s="450">
        <v>44287</v>
      </c>
      <c r="L1572" s="474">
        <v>44530</v>
      </c>
      <c r="M1572" s="540"/>
      <c r="N1572" s="540"/>
    </row>
    <row r="1573" spans="1:14" hidden="1" outlineLevel="3">
      <c r="A1573" s="475"/>
      <c r="B1573" s="476" t="s">
        <v>298</v>
      </c>
      <c r="C1573" s="473" t="s">
        <v>2126</v>
      </c>
      <c r="D1573" s="490" t="s">
        <v>1830</v>
      </c>
      <c r="E1573" s="385"/>
      <c r="F1573" s="385"/>
      <c r="G1573" s="385"/>
      <c r="H1573" s="401" t="s">
        <v>2181</v>
      </c>
      <c r="I1573" s="402" t="s">
        <v>2182</v>
      </c>
      <c r="J1573" s="489"/>
      <c r="K1573" s="450"/>
      <c r="L1573" s="450"/>
      <c r="M1573" s="490" t="s">
        <v>117</v>
      </c>
      <c r="N1573" s="490">
        <v>2.23</v>
      </c>
    </row>
    <row r="1574" spans="1:14" hidden="1" outlineLevel="3">
      <c r="A1574" s="475"/>
      <c r="B1574" s="476" t="s">
        <v>298</v>
      </c>
      <c r="C1574" s="473" t="s">
        <v>2126</v>
      </c>
      <c r="D1574" s="490" t="s">
        <v>1830</v>
      </c>
      <c r="E1574" s="385"/>
      <c r="F1574" s="385"/>
      <c r="G1574" s="385"/>
      <c r="H1574" s="401" t="s">
        <v>2181</v>
      </c>
      <c r="I1574" s="402" t="s">
        <v>2164</v>
      </c>
      <c r="J1574" s="489"/>
      <c r="K1574" s="450"/>
      <c r="L1574" s="450"/>
      <c r="M1574" s="490" t="s">
        <v>117</v>
      </c>
      <c r="N1574" s="490">
        <v>0.01</v>
      </c>
    </row>
    <row r="1575" spans="1:14" s="384" customFormat="1" ht="119.25" hidden="1" customHeight="1" outlineLevel="2" collapsed="1">
      <c r="A1575" s="476" t="s">
        <v>1752</v>
      </c>
      <c r="B1575" s="490" t="s">
        <v>298</v>
      </c>
      <c r="C1575" s="490" t="s">
        <v>2126</v>
      </c>
      <c r="D1575" s="490" t="s">
        <v>1830</v>
      </c>
      <c r="E1575" s="490" t="s">
        <v>2183</v>
      </c>
      <c r="F1575" s="385" t="s">
        <v>2161</v>
      </c>
      <c r="G1575" s="385" t="s">
        <v>2162</v>
      </c>
      <c r="H1575" s="401" t="s">
        <v>2184</v>
      </c>
      <c r="I1575" s="385" t="str">
        <f>CONCATENATE(I1576," ",N1576,M1576," ",I1577," ",N1577,M1577," ",)</f>
        <v xml:space="preserve">Расчистка просек механизмами 5,12га Расчистка просек вручную 0,02га </v>
      </c>
      <c r="J1575" s="489" t="s">
        <v>365</v>
      </c>
      <c r="K1575" s="450">
        <v>44287</v>
      </c>
      <c r="L1575" s="474">
        <v>44530</v>
      </c>
      <c r="M1575" s="540"/>
      <c r="N1575" s="540"/>
    </row>
    <row r="1576" spans="1:14" hidden="1" outlineLevel="3">
      <c r="A1576" s="475"/>
      <c r="B1576" s="412" t="s">
        <v>298</v>
      </c>
      <c r="C1576" s="408" t="s">
        <v>2126</v>
      </c>
      <c r="D1576" s="490" t="s">
        <v>1830</v>
      </c>
      <c r="E1576" s="385"/>
      <c r="F1576" s="385"/>
      <c r="G1576" s="385"/>
      <c r="H1576" s="401" t="s">
        <v>2185</v>
      </c>
      <c r="I1576" s="402" t="s">
        <v>2182</v>
      </c>
      <c r="J1576" s="489"/>
      <c r="K1576" s="450"/>
      <c r="L1576" s="450"/>
      <c r="M1576" s="490" t="s">
        <v>117</v>
      </c>
      <c r="N1576" s="490">
        <v>5.12</v>
      </c>
    </row>
    <row r="1577" spans="1:14" hidden="1" outlineLevel="3">
      <c r="A1577" s="475"/>
      <c r="B1577" s="412" t="s">
        <v>298</v>
      </c>
      <c r="C1577" s="408" t="s">
        <v>2126</v>
      </c>
      <c r="D1577" s="490" t="s">
        <v>1830</v>
      </c>
      <c r="E1577" s="385"/>
      <c r="F1577" s="385"/>
      <c r="G1577" s="385"/>
      <c r="H1577" s="401" t="s">
        <v>2185</v>
      </c>
      <c r="I1577" s="402" t="s">
        <v>2164</v>
      </c>
      <c r="J1577" s="489"/>
      <c r="K1577" s="450"/>
      <c r="L1577" s="450"/>
      <c r="M1577" s="490" t="s">
        <v>117</v>
      </c>
      <c r="N1577" s="490">
        <v>0.02</v>
      </c>
    </row>
    <row r="1578" spans="1:14" s="384" customFormat="1" ht="110.25" hidden="1" customHeight="1" outlineLevel="2" collapsed="1">
      <c r="A1578" s="476" t="s">
        <v>1753</v>
      </c>
      <c r="B1578" s="452" t="s">
        <v>298</v>
      </c>
      <c r="C1578" s="490" t="s">
        <v>2126</v>
      </c>
      <c r="D1578" s="490" t="s">
        <v>1830</v>
      </c>
      <c r="E1578" s="490" t="s">
        <v>2186</v>
      </c>
      <c r="F1578" s="385" t="s">
        <v>2161</v>
      </c>
      <c r="G1578" s="385" t="s">
        <v>2162</v>
      </c>
      <c r="H1578" s="401" t="s">
        <v>2187</v>
      </c>
      <c r="I1578" s="385" t="str">
        <f>CONCATENATE(I1579," ",N1579,M1579," ",)</f>
        <v xml:space="preserve">Расчистка просек вручную 0,8га </v>
      </c>
      <c r="J1578" s="489" t="s">
        <v>365</v>
      </c>
      <c r="K1578" s="450">
        <v>44287</v>
      </c>
      <c r="L1578" s="474">
        <v>44530</v>
      </c>
      <c r="M1578" s="540"/>
      <c r="N1578" s="540"/>
    </row>
    <row r="1579" spans="1:14" hidden="1" outlineLevel="3">
      <c r="A1579" s="475"/>
      <c r="B1579" s="476" t="s">
        <v>298</v>
      </c>
      <c r="C1579" s="408" t="s">
        <v>2126</v>
      </c>
      <c r="D1579" s="490" t="s">
        <v>1830</v>
      </c>
      <c r="E1579" s="385"/>
      <c r="F1579" s="385"/>
      <c r="G1579" s="385"/>
      <c r="H1579" s="401" t="s">
        <v>2188</v>
      </c>
      <c r="I1579" s="402" t="s">
        <v>2164</v>
      </c>
      <c r="J1579" s="489"/>
      <c r="K1579" s="450"/>
      <c r="L1579" s="450"/>
      <c r="M1579" s="490" t="s">
        <v>117</v>
      </c>
      <c r="N1579" s="490">
        <v>0.8</v>
      </c>
    </row>
    <row r="1580" spans="1:14" s="384" customFormat="1" ht="100.5" hidden="1" customHeight="1" outlineLevel="2" collapsed="1">
      <c r="A1580" s="476" t="s">
        <v>1279</v>
      </c>
      <c r="B1580" s="452" t="s">
        <v>298</v>
      </c>
      <c r="C1580" s="490" t="s">
        <v>2126</v>
      </c>
      <c r="D1580" s="490" t="s">
        <v>1830</v>
      </c>
      <c r="E1580" s="490" t="s">
        <v>2189</v>
      </c>
      <c r="F1580" s="385" t="s">
        <v>2161</v>
      </c>
      <c r="G1580" s="385" t="s">
        <v>2162</v>
      </c>
      <c r="H1580" s="401" t="s">
        <v>2190</v>
      </c>
      <c r="I1580" s="385" t="str">
        <f>CONCATENATE(I1581," ",N1581,M1581," ",)</f>
        <v xml:space="preserve">Расчистка просек вручную 0,83га </v>
      </c>
      <c r="J1580" s="489" t="s">
        <v>365</v>
      </c>
      <c r="K1580" s="450">
        <v>44287</v>
      </c>
      <c r="L1580" s="474">
        <v>44530</v>
      </c>
      <c r="M1580" s="540"/>
      <c r="N1580" s="540"/>
    </row>
    <row r="1581" spans="1:14" ht="31.5" hidden="1" customHeight="1" outlineLevel="3">
      <c r="A1581" s="475"/>
      <c r="B1581" s="476" t="s">
        <v>298</v>
      </c>
      <c r="C1581" s="408" t="s">
        <v>2126</v>
      </c>
      <c r="D1581" s="490" t="s">
        <v>1830</v>
      </c>
      <c r="E1581" s="385"/>
      <c r="F1581" s="385"/>
      <c r="G1581" s="385"/>
      <c r="H1581" s="401" t="s">
        <v>2191</v>
      </c>
      <c r="I1581" s="402" t="s">
        <v>2164</v>
      </c>
      <c r="J1581" s="489"/>
      <c r="K1581" s="450"/>
      <c r="L1581" s="450"/>
      <c r="M1581" s="490" t="s">
        <v>117</v>
      </c>
      <c r="N1581" s="490">
        <v>0.83</v>
      </c>
    </row>
    <row r="1582" spans="1:14" s="384" customFormat="1" ht="93" hidden="1" customHeight="1" outlineLevel="2" collapsed="1">
      <c r="A1582" s="476" t="s">
        <v>1754</v>
      </c>
      <c r="B1582" s="452" t="s">
        <v>298</v>
      </c>
      <c r="C1582" s="490" t="s">
        <v>2126</v>
      </c>
      <c r="D1582" s="490" t="s">
        <v>1830</v>
      </c>
      <c r="E1582" s="490" t="s">
        <v>2134</v>
      </c>
      <c r="F1582" s="385" t="s">
        <v>2161</v>
      </c>
      <c r="G1582" s="385" t="s">
        <v>2162</v>
      </c>
      <c r="H1582" s="401" t="s">
        <v>2192</v>
      </c>
      <c r="I1582" s="385" t="str">
        <f>CONCATENATE(I1583," ",N1583,M1583," ",I1584," ",N1584,M1584," ",)</f>
        <v xml:space="preserve">Расчистка просек механизмами 1,7га Расчистка просек вручную 0,1га </v>
      </c>
      <c r="J1582" s="489" t="s">
        <v>365</v>
      </c>
      <c r="K1582" s="450">
        <v>44287</v>
      </c>
      <c r="L1582" s="474">
        <v>44530</v>
      </c>
      <c r="M1582" s="540"/>
      <c r="N1582" s="540"/>
    </row>
    <row r="1583" spans="1:14" ht="40.5" hidden="1" outlineLevel="3">
      <c r="A1583" s="475"/>
      <c r="B1583" s="476" t="s">
        <v>298</v>
      </c>
      <c r="C1583" s="408" t="s">
        <v>2126</v>
      </c>
      <c r="D1583" s="490" t="s">
        <v>1830</v>
      </c>
      <c r="E1583" s="385"/>
      <c r="F1583" s="385"/>
      <c r="G1583" s="385"/>
      <c r="H1583" s="401" t="s">
        <v>2193</v>
      </c>
      <c r="I1583" s="402" t="s">
        <v>2182</v>
      </c>
      <c r="J1583" s="489"/>
      <c r="K1583" s="450"/>
      <c r="L1583" s="450"/>
      <c r="M1583" s="490" t="s">
        <v>117</v>
      </c>
      <c r="N1583" s="490">
        <v>1.7</v>
      </c>
    </row>
    <row r="1584" spans="1:14" ht="40.5" hidden="1" outlineLevel="3">
      <c r="A1584" s="475"/>
      <c r="B1584" s="476" t="s">
        <v>298</v>
      </c>
      <c r="C1584" s="408" t="s">
        <v>2126</v>
      </c>
      <c r="D1584" s="490" t="s">
        <v>1830</v>
      </c>
      <c r="E1584" s="385"/>
      <c r="F1584" s="385"/>
      <c r="G1584" s="385"/>
      <c r="H1584" s="401" t="s">
        <v>2194</v>
      </c>
      <c r="I1584" s="402" t="s">
        <v>2164</v>
      </c>
      <c r="J1584" s="489"/>
      <c r="K1584" s="450"/>
      <c r="L1584" s="450"/>
      <c r="M1584" s="490" t="s">
        <v>117</v>
      </c>
      <c r="N1584" s="490">
        <v>0.1</v>
      </c>
    </row>
    <row r="1585" spans="1:14" s="384" customFormat="1" ht="87.75" hidden="1" customHeight="1" outlineLevel="2" collapsed="1">
      <c r="A1585" s="476" t="s">
        <v>1280</v>
      </c>
      <c r="B1585" s="452" t="s">
        <v>298</v>
      </c>
      <c r="C1585" s="490" t="s">
        <v>2126</v>
      </c>
      <c r="D1585" s="490" t="s">
        <v>1830</v>
      </c>
      <c r="E1585" s="490" t="s">
        <v>2195</v>
      </c>
      <c r="F1585" s="385" t="s">
        <v>2161</v>
      </c>
      <c r="G1585" s="385" t="s">
        <v>2162</v>
      </c>
      <c r="H1585" s="401" t="s">
        <v>2196</v>
      </c>
      <c r="I1585" s="385" t="str">
        <f>CONCATENATE(I1586," ",N1586,M1586," ",)</f>
        <v xml:space="preserve">Расчистка просек вручную 0,55га </v>
      </c>
      <c r="J1585" s="489" t="s">
        <v>365</v>
      </c>
      <c r="K1585" s="450">
        <v>44287</v>
      </c>
      <c r="L1585" s="474">
        <v>44530</v>
      </c>
      <c r="M1585" s="540"/>
      <c r="N1585" s="540"/>
    </row>
    <row r="1586" spans="1:14" ht="30.75" hidden="1" customHeight="1" outlineLevel="3">
      <c r="A1586" s="475"/>
      <c r="B1586" s="476" t="s">
        <v>298</v>
      </c>
      <c r="C1586" s="408" t="s">
        <v>2126</v>
      </c>
      <c r="D1586" s="490" t="s">
        <v>1830</v>
      </c>
      <c r="E1586" s="385"/>
      <c r="F1586" s="385"/>
      <c r="G1586" s="385"/>
      <c r="H1586" s="401" t="s">
        <v>2197</v>
      </c>
      <c r="I1586" s="402" t="s">
        <v>2164</v>
      </c>
      <c r="J1586" s="489"/>
      <c r="K1586" s="450"/>
      <c r="L1586" s="450"/>
      <c r="M1586" s="490" t="s">
        <v>117</v>
      </c>
      <c r="N1586" s="490">
        <v>0.55000000000000004</v>
      </c>
    </row>
    <row r="1587" spans="1:14" s="384" customFormat="1" ht="89.25" hidden="1" customHeight="1" outlineLevel="2" collapsed="1">
      <c r="A1587" s="454" t="s">
        <v>1281</v>
      </c>
      <c r="B1587" s="452" t="s">
        <v>298</v>
      </c>
      <c r="C1587" s="551" t="s">
        <v>49</v>
      </c>
      <c r="D1587" s="490" t="s">
        <v>1830</v>
      </c>
      <c r="E1587" s="490" t="s">
        <v>2210</v>
      </c>
      <c r="F1587" s="385" t="s">
        <v>2211</v>
      </c>
      <c r="G1587" s="385" t="s">
        <v>2162</v>
      </c>
      <c r="H1587" s="401" t="s">
        <v>2212</v>
      </c>
      <c r="I1587" s="385" t="str">
        <f>CONCATENATE(I1588," ",N1588,M1588," ",I1589," ",N1589,M1589," "," ",I1591," ",N1591,M1591," ",)</f>
        <v xml:space="preserve">Замена опор 2шт. Установка изоляторов 3шт.  Ручная расчистка 1,17га. </v>
      </c>
      <c r="J1587" s="489" t="s">
        <v>365</v>
      </c>
      <c r="K1587" s="450">
        <v>44348</v>
      </c>
      <c r="L1587" s="474">
        <v>44439</v>
      </c>
      <c r="M1587" s="540"/>
      <c r="N1587" s="540"/>
    </row>
    <row r="1588" spans="1:14" hidden="1" outlineLevel="3">
      <c r="A1588" s="438"/>
      <c r="B1588" s="457" t="s">
        <v>298</v>
      </c>
      <c r="C1588" s="455" t="s">
        <v>49</v>
      </c>
      <c r="D1588" s="490" t="s">
        <v>1830</v>
      </c>
      <c r="E1588" s="385"/>
      <c r="F1588" s="385"/>
      <c r="G1588" s="385"/>
      <c r="H1588" s="401" t="s">
        <v>2213</v>
      </c>
      <c r="I1588" s="385" t="s">
        <v>39</v>
      </c>
      <c r="J1588" s="489" t="s">
        <v>365</v>
      </c>
      <c r="K1588" s="450"/>
      <c r="L1588" s="450"/>
      <c r="M1588" s="490" t="s">
        <v>37</v>
      </c>
      <c r="N1588" s="490">
        <v>2</v>
      </c>
    </row>
    <row r="1589" spans="1:14" hidden="1" outlineLevel="3">
      <c r="A1589" s="438"/>
      <c r="B1589" s="457" t="s">
        <v>298</v>
      </c>
      <c r="C1589" s="455" t="s">
        <v>49</v>
      </c>
      <c r="D1589" s="490" t="s">
        <v>1830</v>
      </c>
      <c r="E1589" s="385"/>
      <c r="F1589" s="385"/>
      <c r="G1589" s="408"/>
      <c r="H1589" s="401" t="s">
        <v>2214</v>
      </c>
      <c r="I1589" s="402" t="s">
        <v>2215</v>
      </c>
      <c r="J1589" s="489" t="s">
        <v>365</v>
      </c>
      <c r="K1589" s="450"/>
      <c r="L1589" s="450"/>
      <c r="M1589" s="490" t="s">
        <v>37</v>
      </c>
      <c r="N1589" s="490">
        <v>3</v>
      </c>
    </row>
    <row r="1590" spans="1:14" hidden="1" outlineLevel="3">
      <c r="A1590" s="438"/>
      <c r="B1590" s="457" t="s">
        <v>298</v>
      </c>
      <c r="C1590" s="455" t="s">
        <v>49</v>
      </c>
      <c r="D1590" s="490" t="s">
        <v>1830</v>
      </c>
      <c r="E1590" s="385"/>
      <c r="F1590" s="385"/>
      <c r="G1590" s="385"/>
      <c r="H1590" s="401" t="s">
        <v>2216</v>
      </c>
      <c r="I1590" s="402" t="s">
        <v>2217</v>
      </c>
      <c r="J1590" s="489" t="s">
        <v>365</v>
      </c>
      <c r="K1590" s="450"/>
      <c r="L1590" s="450"/>
      <c r="M1590" s="490" t="s">
        <v>37</v>
      </c>
      <c r="N1590" s="490">
        <v>6</v>
      </c>
    </row>
    <row r="1591" spans="1:14" ht="23.25" hidden="1" customHeight="1" outlineLevel="3">
      <c r="A1591" s="438"/>
      <c r="B1591" s="457" t="s">
        <v>298</v>
      </c>
      <c r="C1591" s="455" t="s">
        <v>49</v>
      </c>
      <c r="D1591" s="490" t="s">
        <v>1830</v>
      </c>
      <c r="E1591" s="385"/>
      <c r="F1591" s="385" t="s">
        <v>2161</v>
      </c>
      <c r="G1591" s="385" t="s">
        <v>2162</v>
      </c>
      <c r="H1591" s="401" t="s">
        <v>2218</v>
      </c>
      <c r="I1591" s="385" t="s">
        <v>162</v>
      </c>
      <c r="J1591" s="489" t="s">
        <v>365</v>
      </c>
      <c r="K1591" s="450"/>
      <c r="L1591" s="450"/>
      <c r="M1591" s="490" t="s">
        <v>95</v>
      </c>
      <c r="N1591" s="490">
        <v>1.17</v>
      </c>
    </row>
    <row r="1592" spans="1:14" s="384" customFormat="1" ht="85.5" hidden="1" customHeight="1" outlineLevel="2" collapsed="1">
      <c r="A1592" s="454" t="s">
        <v>1755</v>
      </c>
      <c r="B1592" s="452" t="s">
        <v>298</v>
      </c>
      <c r="C1592" s="551" t="s">
        <v>49</v>
      </c>
      <c r="D1592" s="490" t="s">
        <v>1830</v>
      </c>
      <c r="E1592" s="490" t="s">
        <v>2219</v>
      </c>
      <c r="F1592" s="385" t="s">
        <v>2161</v>
      </c>
      <c r="G1592" s="385" t="s">
        <v>2162</v>
      </c>
      <c r="H1592" s="401" t="s">
        <v>2220</v>
      </c>
      <c r="I1592" s="385" t="str">
        <f>CONCATENATE(I1593," ",N1593,M1593," ",)</f>
        <v xml:space="preserve">Ручная расчистка 0,28га. </v>
      </c>
      <c r="J1592" s="489" t="s">
        <v>365</v>
      </c>
      <c r="K1592" s="450">
        <v>44501</v>
      </c>
      <c r="L1592" s="474">
        <v>44561</v>
      </c>
      <c r="M1592" s="540"/>
      <c r="N1592" s="540"/>
    </row>
    <row r="1593" spans="1:14" ht="33" hidden="1" customHeight="1" outlineLevel="3">
      <c r="A1593" s="438"/>
      <c r="B1593" s="457" t="s">
        <v>298</v>
      </c>
      <c r="C1593" s="455" t="s">
        <v>49</v>
      </c>
      <c r="D1593" s="490" t="s">
        <v>1830</v>
      </c>
      <c r="E1593" s="385"/>
      <c r="F1593" s="385"/>
      <c r="G1593" s="385"/>
      <c r="H1593" s="401" t="s">
        <v>2221</v>
      </c>
      <c r="I1593" s="385" t="s">
        <v>162</v>
      </c>
      <c r="J1593" s="489" t="s">
        <v>365</v>
      </c>
      <c r="K1593" s="450"/>
      <c r="L1593" s="450"/>
      <c r="M1593" s="490" t="s">
        <v>95</v>
      </c>
      <c r="N1593" s="490">
        <v>0.28000000000000003</v>
      </c>
    </row>
    <row r="1594" spans="1:14" s="384" customFormat="1" ht="76.5" hidden="1" customHeight="1" outlineLevel="2" collapsed="1">
      <c r="A1594" s="454" t="s">
        <v>1282</v>
      </c>
      <c r="B1594" s="452" t="s">
        <v>298</v>
      </c>
      <c r="C1594" s="551" t="s">
        <v>49</v>
      </c>
      <c r="D1594" s="490" t="s">
        <v>1830</v>
      </c>
      <c r="E1594" s="490" t="s">
        <v>2222</v>
      </c>
      <c r="F1594" s="385" t="s">
        <v>2223</v>
      </c>
      <c r="G1594" s="385" t="s">
        <v>2162</v>
      </c>
      <c r="H1594" s="401" t="s">
        <v>2224</v>
      </c>
      <c r="I1594" s="385" t="str">
        <f>CONCATENATE(I1595," ",N1595,M1595," ",I1596," ",N1596,M1596," "," ",I1597," ",N1597,M1597," "," ",I1598," ",N1598,M1598)</f>
        <v>Выправка опор  3шт. Замена опор  12шт.  Установка опор 4шт.  Ручная расчистка 0,25га.</v>
      </c>
      <c r="J1594" s="489" t="s">
        <v>365</v>
      </c>
      <c r="K1594" s="450">
        <v>44440</v>
      </c>
      <c r="L1594" s="474">
        <v>44500</v>
      </c>
      <c r="M1594" s="540"/>
      <c r="N1594" s="540"/>
    </row>
    <row r="1595" spans="1:14" ht="33" hidden="1" customHeight="1" outlineLevel="3">
      <c r="A1595" s="475"/>
      <c r="B1595" s="457" t="s">
        <v>298</v>
      </c>
      <c r="C1595" s="455" t="s">
        <v>49</v>
      </c>
      <c r="D1595" s="490" t="s">
        <v>1830</v>
      </c>
      <c r="E1595" s="385"/>
      <c r="F1595" s="385"/>
      <c r="G1595" s="385"/>
      <c r="H1595" s="401" t="s">
        <v>2225</v>
      </c>
      <c r="I1595" s="385" t="s">
        <v>2026</v>
      </c>
      <c r="J1595" s="489" t="s">
        <v>365</v>
      </c>
      <c r="K1595" s="450"/>
      <c r="L1595" s="450"/>
      <c r="M1595" s="490" t="s">
        <v>37</v>
      </c>
      <c r="N1595" s="490">
        <v>3</v>
      </c>
    </row>
    <row r="1596" spans="1:14" ht="33" hidden="1" customHeight="1" outlineLevel="3">
      <c r="A1596" s="475"/>
      <c r="B1596" s="457" t="s">
        <v>298</v>
      </c>
      <c r="C1596" s="455" t="s">
        <v>49</v>
      </c>
      <c r="D1596" s="490" t="s">
        <v>1830</v>
      </c>
      <c r="E1596" s="385"/>
      <c r="F1596" s="385"/>
      <c r="G1596" s="385"/>
      <c r="H1596" s="401" t="s">
        <v>2226</v>
      </c>
      <c r="I1596" s="385" t="s">
        <v>2227</v>
      </c>
      <c r="J1596" s="489" t="s">
        <v>365</v>
      </c>
      <c r="K1596" s="450"/>
      <c r="L1596" s="450"/>
      <c r="M1596" s="490" t="s">
        <v>37</v>
      </c>
      <c r="N1596" s="490">
        <v>12</v>
      </c>
    </row>
    <row r="1597" spans="1:14" ht="33" hidden="1" customHeight="1" outlineLevel="3">
      <c r="A1597" s="412"/>
      <c r="B1597" s="457" t="s">
        <v>298</v>
      </c>
      <c r="C1597" s="455" t="s">
        <v>49</v>
      </c>
      <c r="D1597" s="490" t="s">
        <v>1830</v>
      </c>
      <c r="E1597" s="385"/>
      <c r="F1597" s="385"/>
      <c r="G1597" s="385" t="s">
        <v>2228</v>
      </c>
      <c r="H1597" s="401" t="s">
        <v>2229</v>
      </c>
      <c r="I1597" s="385" t="s">
        <v>123</v>
      </c>
      <c r="J1597" s="489" t="s">
        <v>365</v>
      </c>
      <c r="K1597" s="450"/>
      <c r="L1597" s="450"/>
      <c r="M1597" s="490" t="s">
        <v>37</v>
      </c>
      <c r="N1597" s="490">
        <v>4</v>
      </c>
    </row>
    <row r="1598" spans="1:14" ht="33" hidden="1" customHeight="1" outlineLevel="3">
      <c r="A1598" s="412"/>
      <c r="B1598" s="457" t="s">
        <v>298</v>
      </c>
      <c r="C1598" s="455" t="s">
        <v>49</v>
      </c>
      <c r="D1598" s="490" t="s">
        <v>1830</v>
      </c>
      <c r="E1598" s="385"/>
      <c r="F1598" s="385" t="s">
        <v>2161</v>
      </c>
      <c r="G1598" s="385" t="s">
        <v>2162</v>
      </c>
      <c r="H1598" s="401" t="s">
        <v>2230</v>
      </c>
      <c r="I1598" s="385" t="s">
        <v>162</v>
      </c>
      <c r="J1598" s="489" t="s">
        <v>365</v>
      </c>
      <c r="K1598" s="450"/>
      <c r="L1598" s="450"/>
      <c r="M1598" s="490" t="s">
        <v>95</v>
      </c>
      <c r="N1598" s="438">
        <v>0.25</v>
      </c>
    </row>
    <row r="1599" spans="1:14" s="384" customFormat="1" ht="84" hidden="1" customHeight="1" outlineLevel="2" collapsed="1">
      <c r="A1599" s="454" t="s">
        <v>1283</v>
      </c>
      <c r="B1599" s="452" t="s">
        <v>298</v>
      </c>
      <c r="C1599" s="551" t="s">
        <v>49</v>
      </c>
      <c r="D1599" s="490" t="s">
        <v>1830</v>
      </c>
      <c r="E1599" s="490" t="s">
        <v>2231</v>
      </c>
      <c r="F1599" s="385" t="s">
        <v>2135</v>
      </c>
      <c r="G1599" s="456" t="s">
        <v>2136</v>
      </c>
      <c r="H1599" s="401" t="s">
        <v>2232</v>
      </c>
      <c r="I1599" s="385" t="str">
        <f>CONCATENATE(I1600," ",N1600,M1600," ",I1601," ",N1601,M1601)</f>
        <v>Замена опор  4шт. Монтаж  ОПН 6шт.</v>
      </c>
      <c r="J1599" s="489" t="s">
        <v>365</v>
      </c>
      <c r="K1599" s="450">
        <v>44531</v>
      </c>
      <c r="L1599" s="474">
        <v>44561</v>
      </c>
      <c r="M1599" s="540"/>
      <c r="N1599" s="540"/>
    </row>
    <row r="1600" spans="1:14" hidden="1" outlineLevel="3">
      <c r="A1600" s="475"/>
      <c r="B1600" s="457" t="s">
        <v>298</v>
      </c>
      <c r="C1600" s="455" t="s">
        <v>49</v>
      </c>
      <c r="D1600" s="490" t="s">
        <v>1830</v>
      </c>
      <c r="E1600" s="385"/>
      <c r="F1600" s="385"/>
      <c r="G1600" s="385"/>
      <c r="H1600" s="401" t="s">
        <v>2233</v>
      </c>
      <c r="I1600" s="385" t="s">
        <v>2227</v>
      </c>
      <c r="J1600" s="489" t="s">
        <v>365</v>
      </c>
      <c r="K1600" s="450"/>
      <c r="L1600" s="450"/>
      <c r="M1600" s="490" t="s">
        <v>37</v>
      </c>
      <c r="N1600" s="490">
        <v>4</v>
      </c>
    </row>
    <row r="1601" spans="1:14" hidden="1" outlineLevel="3">
      <c r="A1601" s="475"/>
      <c r="B1601" s="457" t="s">
        <v>298</v>
      </c>
      <c r="C1601" s="455" t="s">
        <v>49</v>
      </c>
      <c r="D1601" s="490" t="s">
        <v>1830</v>
      </c>
      <c r="E1601" s="385"/>
      <c r="F1601" s="385"/>
      <c r="G1601" s="385"/>
      <c r="H1601" s="401" t="s">
        <v>2234</v>
      </c>
      <c r="I1601" s="385" t="s">
        <v>2235</v>
      </c>
      <c r="J1601" s="489" t="s">
        <v>365</v>
      </c>
      <c r="K1601" s="450"/>
      <c r="L1601" s="450"/>
      <c r="M1601" s="490" t="s">
        <v>37</v>
      </c>
      <c r="N1601" s="490">
        <v>6</v>
      </c>
    </row>
    <row r="1602" spans="1:14" s="384" customFormat="1" ht="101.25" hidden="1" customHeight="1" outlineLevel="2" collapsed="1">
      <c r="A1602" s="454" t="s">
        <v>1284</v>
      </c>
      <c r="B1602" s="452" t="s">
        <v>298</v>
      </c>
      <c r="C1602" s="551" t="s">
        <v>49</v>
      </c>
      <c r="D1602" s="490" t="s">
        <v>1830</v>
      </c>
      <c r="E1602" s="490" t="s">
        <v>2236</v>
      </c>
      <c r="F1602" s="385" t="s">
        <v>2128</v>
      </c>
      <c r="G1602" s="385" t="s">
        <v>2237</v>
      </c>
      <c r="H1602" s="401" t="s">
        <v>2238</v>
      </c>
      <c r="I1602" s="385" t="str">
        <f>CONCATENATE(I1603," ",N1603,M1603," ",I1604," ",N1604,M1604," "," ",I1605," ",N1605,M1605)</f>
        <v>Выправка опор 3шт. Ручная расчистка 0,3га.  Установка Индикатор повреждения 9шт.</v>
      </c>
      <c r="J1602" s="489" t="s">
        <v>365</v>
      </c>
      <c r="K1602" s="450">
        <v>44378</v>
      </c>
      <c r="L1602" s="474">
        <v>44439</v>
      </c>
      <c r="M1602" s="540"/>
      <c r="N1602" s="540"/>
    </row>
    <row r="1603" spans="1:14" ht="40.5" hidden="1" outlineLevel="3">
      <c r="A1603" s="475"/>
      <c r="B1603" s="457" t="s">
        <v>298</v>
      </c>
      <c r="C1603" s="455" t="s">
        <v>49</v>
      </c>
      <c r="D1603" s="490" t="s">
        <v>1830</v>
      </c>
      <c r="E1603" s="385"/>
      <c r="F1603" s="385"/>
      <c r="G1603" s="385"/>
      <c r="H1603" s="401" t="s">
        <v>2239</v>
      </c>
      <c r="I1603" s="385" t="s">
        <v>167</v>
      </c>
      <c r="J1603" s="489" t="s">
        <v>365</v>
      </c>
      <c r="K1603" s="450"/>
      <c r="L1603" s="450"/>
      <c r="M1603" s="490" t="s">
        <v>37</v>
      </c>
      <c r="N1603" s="490">
        <v>3</v>
      </c>
    </row>
    <row r="1604" spans="1:14" ht="40.5" hidden="1" outlineLevel="3">
      <c r="A1604" s="475"/>
      <c r="B1604" s="457" t="s">
        <v>298</v>
      </c>
      <c r="C1604" s="455" t="s">
        <v>49</v>
      </c>
      <c r="D1604" s="490" t="s">
        <v>1830</v>
      </c>
      <c r="E1604" s="385"/>
      <c r="F1604" s="477"/>
      <c r="G1604" s="385"/>
      <c r="H1604" s="401" t="s">
        <v>2240</v>
      </c>
      <c r="I1604" s="385" t="s">
        <v>162</v>
      </c>
      <c r="J1604" s="489" t="s">
        <v>365</v>
      </c>
      <c r="K1604" s="450"/>
      <c r="L1604" s="450"/>
      <c r="M1604" s="490" t="s">
        <v>95</v>
      </c>
      <c r="N1604" s="490">
        <v>0.3</v>
      </c>
    </row>
    <row r="1605" spans="1:14" hidden="1" outlineLevel="3">
      <c r="A1605" s="412"/>
      <c r="B1605" s="457" t="s">
        <v>298</v>
      </c>
      <c r="C1605" s="455" t="s">
        <v>49</v>
      </c>
      <c r="D1605" s="490" t="s">
        <v>1830</v>
      </c>
      <c r="E1605" s="385"/>
      <c r="F1605" s="477"/>
      <c r="G1605" s="385"/>
      <c r="H1605" s="401" t="s">
        <v>2241</v>
      </c>
      <c r="I1605" s="385" t="s">
        <v>2242</v>
      </c>
      <c r="J1605" s="489" t="s">
        <v>365</v>
      </c>
      <c r="K1605" s="450"/>
      <c r="L1605" s="450"/>
      <c r="M1605" s="490" t="s">
        <v>37</v>
      </c>
      <c r="N1605" s="490">
        <v>9</v>
      </c>
    </row>
    <row r="1606" spans="1:14" s="384" customFormat="1" ht="60.75" hidden="1" outlineLevel="2" collapsed="1">
      <c r="A1606" s="454" t="s">
        <v>1285</v>
      </c>
      <c r="B1606" s="452" t="s">
        <v>298</v>
      </c>
      <c r="C1606" s="551" t="s">
        <v>49</v>
      </c>
      <c r="D1606" s="490" t="s">
        <v>1830</v>
      </c>
      <c r="E1606" s="452" t="s">
        <v>2243</v>
      </c>
      <c r="F1606" s="385" t="s">
        <v>303</v>
      </c>
      <c r="G1606" s="385"/>
      <c r="H1606" s="401" t="s">
        <v>2244</v>
      </c>
      <c r="I1606" s="385" t="str">
        <f>CONCATENATE(I1607," ",N1607,M1607)</f>
        <v>Замена опор  3шт.</v>
      </c>
      <c r="J1606" s="489" t="s">
        <v>365</v>
      </c>
      <c r="K1606" s="450">
        <v>44287</v>
      </c>
      <c r="L1606" s="474">
        <v>44316</v>
      </c>
      <c r="M1606" s="540"/>
      <c r="N1606" s="540"/>
    </row>
    <row r="1607" spans="1:14" ht="29.25" hidden="1" customHeight="1" outlineLevel="3">
      <c r="A1607" s="475"/>
      <c r="B1607" s="457" t="s">
        <v>298</v>
      </c>
      <c r="C1607" s="455" t="s">
        <v>49</v>
      </c>
      <c r="D1607" s="490" t="s">
        <v>1830</v>
      </c>
      <c r="E1607" s="385"/>
      <c r="F1607" s="385"/>
      <c r="G1607" s="385"/>
      <c r="H1607" s="401" t="s">
        <v>2245</v>
      </c>
      <c r="I1607" s="385" t="s">
        <v>2227</v>
      </c>
      <c r="J1607" s="489" t="s">
        <v>365</v>
      </c>
      <c r="K1607" s="450"/>
      <c r="L1607" s="450"/>
      <c r="M1607" s="490" t="s">
        <v>37</v>
      </c>
      <c r="N1607" s="490">
        <v>3</v>
      </c>
    </row>
    <row r="1608" spans="1:14" s="384" customFormat="1" ht="135" hidden="1" customHeight="1" outlineLevel="2" collapsed="1">
      <c r="A1608" s="454" t="s">
        <v>1286</v>
      </c>
      <c r="B1608" s="452" t="s">
        <v>298</v>
      </c>
      <c r="C1608" s="551" t="s">
        <v>49</v>
      </c>
      <c r="D1608" s="490" t="s">
        <v>1830</v>
      </c>
      <c r="E1608" s="385" t="s">
        <v>2246</v>
      </c>
      <c r="F1608" s="385" t="s">
        <v>2223</v>
      </c>
      <c r="G1608" s="385" t="s">
        <v>2162</v>
      </c>
      <c r="H1608" s="401" t="s">
        <v>2247</v>
      </c>
      <c r="I1608" s="385" t="str">
        <f>CONCATENATE(I1609," ",N1609,M1609," ",I1610," ",N1610,M1610," "," ",I1611," ",N1611,M1611," "," ",I1612," ",N1612,M1612," "," ",I1613," ",N1613,M1613," "," ",I1614," ",N1614,M1614," "," ",I1615," ",N1615,M1615)</f>
        <v>Ручная расчистка  0,82га Демонтаж провода (по трассе) 0,214км  Демонтаж провода (по трассе) 0,214км  Установка изоляторов 15шт  Монтаж  ОПН 3шт  Замена опор 5шт  Установка опор   1шт</v>
      </c>
      <c r="J1608" s="489" t="s">
        <v>365</v>
      </c>
      <c r="K1608" s="450">
        <v>44440</v>
      </c>
      <c r="L1608" s="474">
        <v>44469</v>
      </c>
      <c r="M1608" s="540"/>
      <c r="N1608" s="540"/>
    </row>
    <row r="1609" spans="1:14" ht="42" hidden="1" customHeight="1" outlineLevel="3">
      <c r="A1609" s="475"/>
      <c r="B1609" s="457" t="s">
        <v>298</v>
      </c>
      <c r="C1609" s="455" t="s">
        <v>49</v>
      </c>
      <c r="D1609" s="490" t="s">
        <v>1830</v>
      </c>
      <c r="E1609" s="385"/>
      <c r="F1609" s="385" t="s">
        <v>2161</v>
      </c>
      <c r="G1609" s="459" t="s">
        <v>2162</v>
      </c>
      <c r="H1609" s="401" t="s">
        <v>2248</v>
      </c>
      <c r="I1609" s="385" t="s">
        <v>409</v>
      </c>
      <c r="J1609" s="489" t="s">
        <v>365</v>
      </c>
      <c r="K1609" s="450"/>
      <c r="L1609" s="450"/>
      <c r="M1609" s="490" t="s">
        <v>117</v>
      </c>
      <c r="N1609" s="490">
        <v>0.82</v>
      </c>
    </row>
    <row r="1610" spans="1:14" hidden="1" outlineLevel="3">
      <c r="A1610" s="475"/>
      <c r="B1610" s="457" t="s">
        <v>298</v>
      </c>
      <c r="C1610" s="455" t="s">
        <v>49</v>
      </c>
      <c r="D1610" s="490" t="s">
        <v>1830</v>
      </c>
      <c r="E1610" s="385"/>
      <c r="F1610" s="385"/>
      <c r="G1610" s="385"/>
      <c r="H1610" s="401" t="s">
        <v>2249</v>
      </c>
      <c r="I1610" s="385" t="s">
        <v>126</v>
      </c>
      <c r="J1610" s="489" t="s">
        <v>365</v>
      </c>
      <c r="K1610" s="450"/>
      <c r="L1610" s="450"/>
      <c r="M1610" s="490" t="s">
        <v>308</v>
      </c>
      <c r="N1610" s="490">
        <v>0.214</v>
      </c>
    </row>
    <row r="1611" spans="1:14" hidden="1" outlineLevel="3">
      <c r="A1611" s="475"/>
      <c r="B1611" s="457" t="s">
        <v>298</v>
      </c>
      <c r="C1611" s="455" t="s">
        <v>49</v>
      </c>
      <c r="D1611" s="490" t="s">
        <v>1830</v>
      </c>
      <c r="E1611" s="385"/>
      <c r="F1611" s="385"/>
      <c r="G1611" s="385"/>
      <c r="H1611" s="401" t="s">
        <v>2249</v>
      </c>
      <c r="I1611" s="385" t="s">
        <v>126</v>
      </c>
      <c r="J1611" s="489" t="s">
        <v>365</v>
      </c>
      <c r="K1611" s="450"/>
      <c r="L1611" s="450"/>
      <c r="M1611" s="490" t="s">
        <v>308</v>
      </c>
      <c r="N1611" s="490">
        <v>0.214</v>
      </c>
    </row>
    <row r="1612" spans="1:14" hidden="1" outlineLevel="3">
      <c r="A1612" s="412"/>
      <c r="B1612" s="457" t="s">
        <v>298</v>
      </c>
      <c r="C1612" s="455" t="s">
        <v>49</v>
      </c>
      <c r="D1612" s="490" t="s">
        <v>1830</v>
      </c>
      <c r="E1612" s="385"/>
      <c r="F1612" s="385"/>
      <c r="G1612" s="385"/>
      <c r="H1612" s="401" t="s">
        <v>2250</v>
      </c>
      <c r="I1612" s="385" t="s">
        <v>2215</v>
      </c>
      <c r="J1612" s="489" t="s">
        <v>365</v>
      </c>
      <c r="K1612" s="450"/>
      <c r="L1612" s="450"/>
      <c r="M1612" s="490" t="s">
        <v>813</v>
      </c>
      <c r="N1612" s="490">
        <v>15</v>
      </c>
    </row>
    <row r="1613" spans="1:14" hidden="1" outlineLevel="3">
      <c r="A1613" s="412"/>
      <c r="B1613" s="457" t="s">
        <v>298</v>
      </c>
      <c r="C1613" s="455" t="s">
        <v>49</v>
      </c>
      <c r="D1613" s="490" t="s">
        <v>1830</v>
      </c>
      <c r="E1613" s="385"/>
      <c r="F1613" s="385"/>
      <c r="G1613" s="385"/>
      <c r="H1613" s="401" t="s">
        <v>2251</v>
      </c>
      <c r="I1613" s="385" t="s">
        <v>2235</v>
      </c>
      <c r="J1613" s="489" t="s">
        <v>365</v>
      </c>
      <c r="K1613" s="450"/>
      <c r="L1613" s="450"/>
      <c r="M1613" s="490" t="s">
        <v>813</v>
      </c>
      <c r="N1613" s="438">
        <v>3</v>
      </c>
    </row>
    <row r="1614" spans="1:14" ht="29.25" hidden="1" customHeight="1" outlineLevel="3">
      <c r="A1614" s="412"/>
      <c r="B1614" s="457" t="s">
        <v>298</v>
      </c>
      <c r="C1614" s="455" t="s">
        <v>49</v>
      </c>
      <c r="D1614" s="490" t="s">
        <v>1830</v>
      </c>
      <c r="E1614" s="385"/>
      <c r="F1614" s="385"/>
      <c r="G1614" s="385"/>
      <c r="H1614" s="401" t="s">
        <v>2252</v>
      </c>
      <c r="I1614" s="385" t="s">
        <v>39</v>
      </c>
      <c r="J1614" s="489" t="s">
        <v>365</v>
      </c>
      <c r="K1614" s="450"/>
      <c r="L1614" s="450"/>
      <c r="M1614" s="490" t="s">
        <v>813</v>
      </c>
      <c r="N1614" s="438">
        <v>5</v>
      </c>
    </row>
    <row r="1615" spans="1:14" ht="29.25" hidden="1" customHeight="1" outlineLevel="3">
      <c r="A1615" s="412"/>
      <c r="B1615" s="457" t="s">
        <v>298</v>
      </c>
      <c r="C1615" s="455" t="s">
        <v>49</v>
      </c>
      <c r="D1615" s="490" t="s">
        <v>1830</v>
      </c>
      <c r="E1615" s="385"/>
      <c r="F1615" s="385"/>
      <c r="G1615" s="385" t="s">
        <v>2228</v>
      </c>
      <c r="H1615" s="401"/>
      <c r="I1615" s="385" t="s">
        <v>2253</v>
      </c>
      <c r="J1615" s="489" t="s">
        <v>365</v>
      </c>
      <c r="K1615" s="450"/>
      <c r="L1615" s="450"/>
      <c r="M1615" s="490" t="s">
        <v>813</v>
      </c>
      <c r="N1615" s="438">
        <v>1</v>
      </c>
    </row>
    <row r="1616" spans="1:14" s="384" customFormat="1" ht="40.5" hidden="1" outlineLevel="2" collapsed="1">
      <c r="A1616" s="454" t="s">
        <v>1287</v>
      </c>
      <c r="B1616" s="452" t="s">
        <v>298</v>
      </c>
      <c r="C1616" s="551" t="s">
        <v>49</v>
      </c>
      <c r="D1616" s="490" t="s">
        <v>1830</v>
      </c>
      <c r="E1616" s="490" t="s">
        <v>2254</v>
      </c>
      <c r="F1616" s="385" t="s">
        <v>303</v>
      </c>
      <c r="G1616" s="385"/>
      <c r="H1616" s="401" t="s">
        <v>2255</v>
      </c>
      <c r="I1616" s="385" t="str">
        <f>CONCATENATE(I1617," ",N1617,M1617," ",I1618," ",N1618,M1618," "," ",I1619," ",N1619,M1619)</f>
        <v>Замена опор 1шт Выправка опор 2шт  Установка изоляторов 3шт</v>
      </c>
      <c r="J1616" s="489" t="s">
        <v>365</v>
      </c>
      <c r="K1616" s="450">
        <v>44470</v>
      </c>
      <c r="L1616" s="474">
        <v>44499</v>
      </c>
      <c r="M1616" s="540"/>
      <c r="N1616" s="540"/>
    </row>
    <row r="1617" spans="1:14" hidden="1" outlineLevel="3">
      <c r="A1617" s="475"/>
      <c r="B1617" s="457" t="s">
        <v>298</v>
      </c>
      <c r="C1617" s="455" t="s">
        <v>49</v>
      </c>
      <c r="D1617" s="490" t="s">
        <v>1830</v>
      </c>
      <c r="E1617" s="385"/>
      <c r="F1617" s="385"/>
      <c r="G1617" s="385"/>
      <c r="H1617" s="401" t="s">
        <v>2256</v>
      </c>
      <c r="I1617" s="385" t="s">
        <v>39</v>
      </c>
      <c r="J1617" s="489" t="s">
        <v>365</v>
      </c>
      <c r="K1617" s="450"/>
      <c r="L1617" s="450"/>
      <c r="M1617" s="490" t="s">
        <v>813</v>
      </c>
      <c r="N1617" s="490">
        <v>1</v>
      </c>
    </row>
    <row r="1618" spans="1:14" hidden="1" outlineLevel="3">
      <c r="A1618" s="475"/>
      <c r="B1618" s="457" t="s">
        <v>298</v>
      </c>
      <c r="C1618" s="455" t="s">
        <v>49</v>
      </c>
      <c r="D1618" s="490" t="s">
        <v>1830</v>
      </c>
      <c r="E1618" s="385"/>
      <c r="F1618" s="385"/>
      <c r="G1618" s="385"/>
      <c r="H1618" s="401" t="s">
        <v>2257</v>
      </c>
      <c r="I1618" s="385" t="s">
        <v>167</v>
      </c>
      <c r="J1618" s="489" t="s">
        <v>365</v>
      </c>
      <c r="K1618" s="450"/>
      <c r="L1618" s="450"/>
      <c r="M1618" s="490" t="s">
        <v>813</v>
      </c>
      <c r="N1618" s="490">
        <v>2</v>
      </c>
    </row>
    <row r="1619" spans="1:14" hidden="1" outlineLevel="3">
      <c r="A1619" s="412"/>
      <c r="B1619" s="457" t="s">
        <v>298</v>
      </c>
      <c r="C1619" s="455" t="s">
        <v>49</v>
      </c>
      <c r="D1619" s="490" t="s">
        <v>1830</v>
      </c>
      <c r="E1619" s="385"/>
      <c r="F1619" s="385"/>
      <c r="G1619" s="385"/>
      <c r="H1619" s="401" t="s">
        <v>2258</v>
      </c>
      <c r="I1619" s="385" t="s">
        <v>2215</v>
      </c>
      <c r="J1619" s="489" t="s">
        <v>365</v>
      </c>
      <c r="K1619" s="450"/>
      <c r="L1619" s="450"/>
      <c r="M1619" s="490" t="s">
        <v>813</v>
      </c>
      <c r="N1619" s="490">
        <v>3</v>
      </c>
    </row>
    <row r="1620" spans="1:14" s="384" customFormat="1" ht="100.5" hidden="1" customHeight="1" outlineLevel="2" collapsed="1">
      <c r="A1620" s="454" t="s">
        <v>1288</v>
      </c>
      <c r="B1620" s="452" t="s">
        <v>298</v>
      </c>
      <c r="C1620" s="551" t="s">
        <v>49</v>
      </c>
      <c r="D1620" s="490" t="s">
        <v>1830</v>
      </c>
      <c r="E1620" s="490" t="s">
        <v>2222</v>
      </c>
      <c r="F1620" s="385" t="s">
        <v>2223</v>
      </c>
      <c r="G1620" s="459" t="s">
        <v>2162</v>
      </c>
      <c r="H1620" s="401" t="s">
        <v>2259</v>
      </c>
      <c r="I1620" s="385" t="str">
        <f>CONCATENATE(I1621," ",N1621,M1621," ",I1622," ",N1622,M1622)</f>
        <v>Замена опор 11шт Ручная расчистка 0,7га</v>
      </c>
      <c r="J1620" s="489" t="s">
        <v>365</v>
      </c>
      <c r="K1620" s="450">
        <v>44501</v>
      </c>
      <c r="L1620" s="474">
        <v>44530</v>
      </c>
      <c r="M1620" s="540"/>
      <c r="N1620" s="540"/>
    </row>
    <row r="1621" spans="1:14" ht="27" hidden="1" customHeight="1" outlineLevel="3">
      <c r="A1621" s="475"/>
      <c r="B1621" s="457" t="s">
        <v>298</v>
      </c>
      <c r="C1621" s="455" t="s">
        <v>49</v>
      </c>
      <c r="D1621" s="490" t="s">
        <v>1830</v>
      </c>
      <c r="E1621" s="385"/>
      <c r="F1621" s="385"/>
      <c r="G1621" s="385"/>
      <c r="H1621" s="401" t="s">
        <v>2260</v>
      </c>
      <c r="I1621" s="385" t="s">
        <v>39</v>
      </c>
      <c r="J1621" s="489" t="s">
        <v>365</v>
      </c>
      <c r="K1621" s="450"/>
      <c r="L1621" s="450"/>
      <c r="M1621" s="490" t="s">
        <v>813</v>
      </c>
      <c r="N1621" s="490">
        <v>11</v>
      </c>
    </row>
    <row r="1622" spans="1:14" ht="27" hidden="1" customHeight="1" outlineLevel="3">
      <c r="A1622" s="475"/>
      <c r="B1622" s="457" t="s">
        <v>298</v>
      </c>
      <c r="C1622" s="455" t="s">
        <v>49</v>
      </c>
      <c r="D1622" s="490" t="s">
        <v>1830</v>
      </c>
      <c r="E1622" s="385"/>
      <c r="F1622" s="385" t="s">
        <v>2161</v>
      </c>
      <c r="G1622" s="459" t="s">
        <v>2162</v>
      </c>
      <c r="H1622" s="401" t="s">
        <v>2261</v>
      </c>
      <c r="I1622" s="385" t="s">
        <v>162</v>
      </c>
      <c r="J1622" s="489" t="s">
        <v>365</v>
      </c>
      <c r="K1622" s="450"/>
      <c r="L1622" s="450"/>
      <c r="M1622" s="490" t="s">
        <v>117</v>
      </c>
      <c r="N1622" s="490">
        <v>0.7</v>
      </c>
    </row>
    <row r="1623" spans="1:14" s="384" customFormat="1" ht="85.5" hidden="1" customHeight="1" outlineLevel="2" collapsed="1">
      <c r="A1623" s="476" t="s">
        <v>1289</v>
      </c>
      <c r="B1623" s="452" t="s">
        <v>298</v>
      </c>
      <c r="C1623" s="551" t="s">
        <v>49</v>
      </c>
      <c r="D1623" s="490" t="s">
        <v>1830</v>
      </c>
      <c r="E1623" s="490" t="s">
        <v>2262</v>
      </c>
      <c r="F1623" s="385" t="s">
        <v>303</v>
      </c>
      <c r="G1623" s="385"/>
      <c r="H1623" s="401" t="s">
        <v>2263</v>
      </c>
      <c r="I1623" s="385" t="str">
        <f>CONCATENATE(I1624," ",N1624,M1624," ",I1625," ",N1625,M1625," "," ",I1627," ",N1627,M1627," ",I1628," ",N1628,M1628," ",I1629," ",N1629,M1629)</f>
        <v>Выправка опор 6шт Установка подкоса 1шт  Замена опор 1шт Установка изоляторов 3шт Замена траверс 1шт</v>
      </c>
      <c r="J1623" s="489" t="s">
        <v>365</v>
      </c>
      <c r="K1623" s="450">
        <v>44348</v>
      </c>
      <c r="L1623" s="474">
        <v>44377</v>
      </c>
      <c r="M1623" s="540"/>
      <c r="N1623" s="540"/>
    </row>
    <row r="1624" spans="1:14" hidden="1" outlineLevel="3">
      <c r="A1624" s="475"/>
      <c r="B1624" s="457" t="s">
        <v>298</v>
      </c>
      <c r="C1624" s="455" t="s">
        <v>49</v>
      </c>
      <c r="D1624" s="490" t="s">
        <v>1830</v>
      </c>
      <c r="E1624" s="385"/>
      <c r="F1624" s="385"/>
      <c r="G1624" s="385"/>
      <c r="H1624" s="401" t="s">
        <v>2264</v>
      </c>
      <c r="I1624" s="385" t="s">
        <v>167</v>
      </c>
      <c r="J1624" s="489" t="s">
        <v>365</v>
      </c>
      <c r="K1624" s="450"/>
      <c r="L1624" s="450"/>
      <c r="M1624" s="490" t="s">
        <v>813</v>
      </c>
      <c r="N1624" s="490">
        <v>6</v>
      </c>
    </row>
    <row r="1625" spans="1:14" hidden="1" outlineLevel="3">
      <c r="A1625" s="475"/>
      <c r="B1625" s="457" t="s">
        <v>298</v>
      </c>
      <c r="C1625" s="455" t="s">
        <v>49</v>
      </c>
      <c r="D1625" s="490" t="s">
        <v>1830</v>
      </c>
      <c r="E1625" s="385"/>
      <c r="F1625" s="385"/>
      <c r="G1625" s="385"/>
      <c r="H1625" s="401" t="s">
        <v>2265</v>
      </c>
      <c r="I1625" s="385" t="s">
        <v>2266</v>
      </c>
      <c r="J1625" s="489" t="s">
        <v>365</v>
      </c>
      <c r="K1625" s="450"/>
      <c r="L1625" s="450"/>
      <c r="M1625" s="490" t="s">
        <v>813</v>
      </c>
      <c r="N1625" s="490">
        <v>1</v>
      </c>
    </row>
    <row r="1626" spans="1:14" hidden="1" outlineLevel="3">
      <c r="A1626" s="475"/>
      <c r="B1626" s="457" t="s">
        <v>298</v>
      </c>
      <c r="C1626" s="455" t="s">
        <v>49</v>
      </c>
      <c r="D1626" s="490" t="s">
        <v>1830</v>
      </c>
      <c r="E1626" s="385"/>
      <c r="F1626" s="385"/>
      <c r="G1626" s="385"/>
      <c r="H1626" s="401" t="s">
        <v>2267</v>
      </c>
      <c r="I1626" s="385" t="s">
        <v>2235</v>
      </c>
      <c r="J1626" s="489" t="s">
        <v>365</v>
      </c>
      <c r="K1626" s="450"/>
      <c r="L1626" s="450"/>
      <c r="M1626" s="490" t="s">
        <v>813</v>
      </c>
      <c r="N1626" s="490">
        <v>9</v>
      </c>
    </row>
    <row r="1627" spans="1:14" hidden="1" outlineLevel="3">
      <c r="A1627" s="412"/>
      <c r="B1627" s="457" t="s">
        <v>298</v>
      </c>
      <c r="C1627" s="455" t="s">
        <v>49</v>
      </c>
      <c r="D1627" s="490" t="s">
        <v>1830</v>
      </c>
      <c r="E1627" s="385"/>
      <c r="F1627" s="385"/>
      <c r="G1627" s="385"/>
      <c r="H1627" s="401" t="s">
        <v>2268</v>
      </c>
      <c r="I1627" s="385" t="s">
        <v>39</v>
      </c>
      <c r="J1627" s="489" t="s">
        <v>365</v>
      </c>
      <c r="K1627" s="450"/>
      <c r="L1627" s="450"/>
      <c r="M1627" s="490" t="s">
        <v>813</v>
      </c>
      <c r="N1627" s="490">
        <v>1</v>
      </c>
    </row>
    <row r="1628" spans="1:14" hidden="1" outlineLevel="3">
      <c r="A1628" s="412"/>
      <c r="B1628" s="457" t="s">
        <v>298</v>
      </c>
      <c r="C1628" s="455" t="s">
        <v>49</v>
      </c>
      <c r="D1628" s="490" t="s">
        <v>1830</v>
      </c>
      <c r="E1628" s="385"/>
      <c r="F1628" s="385"/>
      <c r="G1628" s="385"/>
      <c r="H1628" s="401" t="s">
        <v>2269</v>
      </c>
      <c r="I1628" s="385" t="s">
        <v>2215</v>
      </c>
      <c r="J1628" s="489" t="s">
        <v>365</v>
      </c>
      <c r="K1628" s="450"/>
      <c r="L1628" s="450"/>
      <c r="M1628" s="490" t="s">
        <v>813</v>
      </c>
      <c r="N1628" s="403">
        <v>3</v>
      </c>
    </row>
    <row r="1629" spans="1:14" hidden="1" outlineLevel="3">
      <c r="A1629" s="412"/>
      <c r="B1629" s="457" t="s">
        <v>298</v>
      </c>
      <c r="C1629" s="455" t="s">
        <v>49</v>
      </c>
      <c r="D1629" s="490" t="s">
        <v>1830</v>
      </c>
      <c r="E1629" s="385"/>
      <c r="F1629" s="385"/>
      <c r="G1629" s="385"/>
      <c r="H1629" s="401" t="s">
        <v>2269</v>
      </c>
      <c r="I1629" s="385" t="s">
        <v>177</v>
      </c>
      <c r="J1629" s="489" t="s">
        <v>365</v>
      </c>
      <c r="K1629" s="450"/>
      <c r="L1629" s="450"/>
      <c r="M1629" s="490" t="s">
        <v>813</v>
      </c>
      <c r="N1629" s="403">
        <v>1</v>
      </c>
    </row>
    <row r="1630" spans="1:14" s="384" customFormat="1" ht="107.25" hidden="1" customHeight="1" outlineLevel="2" collapsed="1">
      <c r="A1630" s="412" t="s">
        <v>1290</v>
      </c>
      <c r="B1630" s="452" t="s">
        <v>298</v>
      </c>
      <c r="C1630" s="551" t="s">
        <v>49</v>
      </c>
      <c r="D1630" s="490" t="s">
        <v>1830</v>
      </c>
      <c r="E1630" s="490" t="s">
        <v>3497</v>
      </c>
      <c r="F1630" s="385" t="s">
        <v>2135</v>
      </c>
      <c r="G1630" s="456" t="s">
        <v>2136</v>
      </c>
      <c r="H1630" s="401" t="s">
        <v>2270</v>
      </c>
      <c r="I1630" s="385" t="str">
        <f>CONCATENATE(I1631," ",N1631,M1631," ",I1632," ",N1632,M1632)</f>
        <v>Монтаж  ОПН 6шт Устройство заземляющего спуска  2шт</v>
      </c>
      <c r="J1630" s="489" t="s">
        <v>365</v>
      </c>
      <c r="K1630" s="450">
        <v>44348</v>
      </c>
      <c r="L1630" s="474">
        <v>44377</v>
      </c>
      <c r="M1630" s="540"/>
      <c r="N1630" s="540"/>
    </row>
    <row r="1631" spans="1:14" hidden="1" outlineLevel="3">
      <c r="A1631" s="475"/>
      <c r="B1631" s="457" t="s">
        <v>298</v>
      </c>
      <c r="C1631" s="455" t="s">
        <v>49</v>
      </c>
      <c r="D1631" s="490" t="s">
        <v>1830</v>
      </c>
      <c r="E1631" s="385"/>
      <c r="F1631" s="385"/>
      <c r="G1631" s="385"/>
      <c r="H1631" s="401" t="s">
        <v>2271</v>
      </c>
      <c r="I1631" s="385" t="s">
        <v>2235</v>
      </c>
      <c r="J1631" s="489" t="s">
        <v>365</v>
      </c>
      <c r="K1631" s="450"/>
      <c r="L1631" s="450"/>
      <c r="M1631" s="490" t="s">
        <v>813</v>
      </c>
      <c r="N1631" s="490">
        <v>6</v>
      </c>
    </row>
    <row r="1632" spans="1:14" hidden="1" outlineLevel="3">
      <c r="A1632" s="412"/>
      <c r="B1632" s="457" t="s">
        <v>298</v>
      </c>
      <c r="C1632" s="455" t="s">
        <v>49</v>
      </c>
      <c r="D1632" s="490" t="s">
        <v>1830</v>
      </c>
      <c r="E1632" s="385"/>
      <c r="F1632" s="385"/>
      <c r="G1632" s="385"/>
      <c r="H1632" s="401" t="s">
        <v>2271</v>
      </c>
      <c r="I1632" s="385" t="s">
        <v>2272</v>
      </c>
      <c r="J1632" s="489" t="s">
        <v>365</v>
      </c>
      <c r="K1632" s="450"/>
      <c r="L1632" s="450"/>
      <c r="M1632" s="490" t="s">
        <v>813</v>
      </c>
      <c r="N1632" s="490">
        <v>2</v>
      </c>
    </row>
    <row r="1633" spans="1:14" s="384" customFormat="1" ht="101.25" hidden="1" customHeight="1" outlineLevel="2" collapsed="1">
      <c r="A1633" s="412" t="s">
        <v>1291</v>
      </c>
      <c r="B1633" s="452" t="s">
        <v>298</v>
      </c>
      <c r="C1633" s="551" t="s">
        <v>49</v>
      </c>
      <c r="D1633" s="490" t="s">
        <v>1830</v>
      </c>
      <c r="E1633" s="452" t="s">
        <v>3498</v>
      </c>
      <c r="F1633" s="385" t="s">
        <v>2135</v>
      </c>
      <c r="G1633" s="456" t="s">
        <v>2136</v>
      </c>
      <c r="H1633" s="401" t="s">
        <v>2273</v>
      </c>
      <c r="I1633" s="385" t="str">
        <f>CONCATENATE(I1634," ",N1634,M1634," ",I1635," ",N1635,M1635)</f>
        <v>Монтаж  ОПН 6шт Устройство заземляющего спуска  2шт</v>
      </c>
      <c r="J1633" s="489" t="s">
        <v>365</v>
      </c>
      <c r="K1633" s="450">
        <v>44348</v>
      </c>
      <c r="L1633" s="474">
        <v>44377</v>
      </c>
      <c r="M1633" s="540"/>
      <c r="N1633" s="540"/>
    </row>
    <row r="1634" spans="1:14" hidden="1" outlineLevel="3">
      <c r="A1634" s="475"/>
      <c r="B1634" s="457" t="s">
        <v>298</v>
      </c>
      <c r="C1634" s="455" t="s">
        <v>49</v>
      </c>
      <c r="D1634" s="490" t="s">
        <v>1830</v>
      </c>
      <c r="E1634" s="385"/>
      <c r="F1634" s="385"/>
      <c r="G1634" s="385"/>
      <c r="H1634" s="401" t="s">
        <v>2274</v>
      </c>
      <c r="I1634" s="385" t="s">
        <v>2235</v>
      </c>
      <c r="J1634" s="489" t="s">
        <v>365</v>
      </c>
      <c r="K1634" s="450"/>
      <c r="L1634" s="450"/>
      <c r="M1634" s="490" t="s">
        <v>813</v>
      </c>
      <c r="N1634" s="490">
        <v>6</v>
      </c>
    </row>
    <row r="1635" spans="1:14" hidden="1" outlineLevel="3">
      <c r="A1635" s="412"/>
      <c r="B1635" s="457" t="s">
        <v>298</v>
      </c>
      <c r="C1635" s="455" t="s">
        <v>49</v>
      </c>
      <c r="D1635" s="490" t="s">
        <v>1830</v>
      </c>
      <c r="E1635" s="385"/>
      <c r="F1635" s="385"/>
      <c r="G1635" s="385"/>
      <c r="H1635" s="401" t="s">
        <v>2274</v>
      </c>
      <c r="I1635" s="385" t="s">
        <v>2272</v>
      </c>
      <c r="J1635" s="489" t="s">
        <v>365</v>
      </c>
      <c r="K1635" s="450"/>
      <c r="L1635" s="450"/>
      <c r="M1635" s="490" t="s">
        <v>813</v>
      </c>
      <c r="N1635" s="490">
        <v>2</v>
      </c>
    </row>
    <row r="1636" spans="1:14" s="384" customFormat="1" ht="97.5" hidden="1" customHeight="1" outlineLevel="2" collapsed="1">
      <c r="A1636" s="476" t="s">
        <v>1756</v>
      </c>
      <c r="B1636" s="452" t="s">
        <v>298</v>
      </c>
      <c r="C1636" s="551" t="s">
        <v>49</v>
      </c>
      <c r="D1636" s="490" t="s">
        <v>1830</v>
      </c>
      <c r="E1636" s="452" t="s">
        <v>3499</v>
      </c>
      <c r="F1636" s="385" t="s">
        <v>2135</v>
      </c>
      <c r="G1636" s="456" t="s">
        <v>2136</v>
      </c>
      <c r="H1636" s="401" t="s">
        <v>2275</v>
      </c>
      <c r="I1636" s="385" t="str">
        <f>CONCATENATE(I1637," ",N1637,M1637," ",I1638," ",N1638,M1638)</f>
        <v>Монтаж  ОПН 6шт Устройство заземляющего спуска  2шт</v>
      </c>
      <c r="J1636" s="489" t="s">
        <v>365</v>
      </c>
      <c r="K1636" s="450">
        <v>44348</v>
      </c>
      <c r="L1636" s="474">
        <v>44377</v>
      </c>
      <c r="M1636" s="540"/>
      <c r="N1636" s="540"/>
    </row>
    <row r="1637" spans="1:14" hidden="1" outlineLevel="3">
      <c r="A1637" s="475"/>
      <c r="B1637" s="457" t="s">
        <v>298</v>
      </c>
      <c r="C1637" s="455" t="s">
        <v>49</v>
      </c>
      <c r="D1637" s="490" t="s">
        <v>1830</v>
      </c>
      <c r="E1637" s="385"/>
      <c r="F1637" s="385"/>
      <c r="G1637" s="385"/>
      <c r="H1637" s="401" t="s">
        <v>2276</v>
      </c>
      <c r="I1637" s="385" t="s">
        <v>2235</v>
      </c>
      <c r="J1637" s="489" t="s">
        <v>365</v>
      </c>
      <c r="K1637" s="450"/>
      <c r="L1637" s="450"/>
      <c r="M1637" s="490" t="s">
        <v>813</v>
      </c>
      <c r="N1637" s="490">
        <v>6</v>
      </c>
    </row>
    <row r="1638" spans="1:14" hidden="1" outlineLevel="3">
      <c r="A1638" s="412"/>
      <c r="B1638" s="457" t="s">
        <v>298</v>
      </c>
      <c r="C1638" s="455" t="s">
        <v>49</v>
      </c>
      <c r="D1638" s="490" t="s">
        <v>1830</v>
      </c>
      <c r="E1638" s="385"/>
      <c r="F1638" s="385"/>
      <c r="G1638" s="385"/>
      <c r="H1638" s="401" t="s">
        <v>2276</v>
      </c>
      <c r="I1638" s="385" t="s">
        <v>2272</v>
      </c>
      <c r="J1638" s="489" t="s">
        <v>365</v>
      </c>
      <c r="K1638" s="450"/>
      <c r="L1638" s="450"/>
      <c r="M1638" s="490" t="s">
        <v>813</v>
      </c>
      <c r="N1638" s="490">
        <v>2</v>
      </c>
    </row>
    <row r="1639" spans="1:14" s="384" customFormat="1" ht="127.5" hidden="1" customHeight="1" outlineLevel="2" collapsed="1">
      <c r="A1639" s="489" t="s">
        <v>1292</v>
      </c>
      <c r="B1639" s="452" t="s">
        <v>298</v>
      </c>
      <c r="C1639" s="490" t="s">
        <v>2315</v>
      </c>
      <c r="D1639" s="490" t="s">
        <v>1830</v>
      </c>
      <c r="E1639" s="490" t="s">
        <v>2316</v>
      </c>
      <c r="F1639" s="385" t="s">
        <v>2317</v>
      </c>
      <c r="G1639" s="385" t="s">
        <v>3500</v>
      </c>
      <c r="H1639" s="401" t="s">
        <v>2318</v>
      </c>
      <c r="I1639" s="385" t="str">
        <f>CONCATENATE(I1640," ",N1640,M1640," ",I1641," ",N1641,M1641," ",I1642," ",N1643,M1642," ",I1643," ",N1643,M1643)</f>
        <v>Ручная расчистка 0,5га. Механизированная расчистка 1,5га. Вырубка угрожающих деревьев 9шт. Установка индикаторов повреждения ВЛ 9шт.</v>
      </c>
      <c r="J1639" s="489" t="s">
        <v>365</v>
      </c>
      <c r="K1639" s="450">
        <v>44228</v>
      </c>
      <c r="L1639" s="474">
        <v>44316</v>
      </c>
      <c r="M1639" s="540"/>
      <c r="N1639" s="540"/>
    </row>
    <row r="1640" spans="1:14" ht="34.5" hidden="1" customHeight="1" outlineLevel="3">
      <c r="A1640" s="438"/>
      <c r="B1640" s="457" t="s">
        <v>298</v>
      </c>
      <c r="C1640" s="438" t="s">
        <v>2315</v>
      </c>
      <c r="D1640" s="490" t="s">
        <v>1830</v>
      </c>
      <c r="E1640" s="385"/>
      <c r="F1640" s="385" t="s">
        <v>2161</v>
      </c>
      <c r="G1640" s="459" t="s">
        <v>2162</v>
      </c>
      <c r="H1640" s="401" t="s">
        <v>2319</v>
      </c>
      <c r="I1640" s="385" t="s">
        <v>162</v>
      </c>
      <c r="J1640" s="489"/>
      <c r="K1640" s="450"/>
      <c r="L1640" s="450"/>
      <c r="M1640" s="490" t="s">
        <v>95</v>
      </c>
      <c r="N1640" s="490">
        <v>0.5</v>
      </c>
    </row>
    <row r="1641" spans="1:14" ht="34.5" hidden="1" customHeight="1" outlineLevel="3">
      <c r="A1641" s="438"/>
      <c r="B1641" s="457" t="s">
        <v>298</v>
      </c>
      <c r="C1641" s="438" t="s">
        <v>2315</v>
      </c>
      <c r="D1641" s="490" t="s">
        <v>1830</v>
      </c>
      <c r="E1641" s="385"/>
      <c r="F1641" s="385" t="s">
        <v>2161</v>
      </c>
      <c r="G1641" s="459" t="s">
        <v>2162</v>
      </c>
      <c r="H1641" s="401" t="s">
        <v>2319</v>
      </c>
      <c r="I1641" s="385" t="s">
        <v>159</v>
      </c>
      <c r="J1641" s="489"/>
      <c r="K1641" s="450"/>
      <c r="L1641" s="450"/>
      <c r="M1641" s="490" t="s">
        <v>95</v>
      </c>
      <c r="N1641" s="490">
        <v>1.5</v>
      </c>
    </row>
    <row r="1642" spans="1:14" ht="34.5" hidden="1" customHeight="1" outlineLevel="3">
      <c r="A1642" s="438"/>
      <c r="B1642" s="457" t="s">
        <v>298</v>
      </c>
      <c r="C1642" s="438" t="s">
        <v>2315</v>
      </c>
      <c r="D1642" s="490" t="s">
        <v>1830</v>
      </c>
      <c r="E1642" s="385"/>
      <c r="F1642" s="385" t="s">
        <v>2161</v>
      </c>
      <c r="G1642" s="459" t="s">
        <v>2162</v>
      </c>
      <c r="H1642" s="401" t="s">
        <v>2320</v>
      </c>
      <c r="I1642" s="385" t="s">
        <v>169</v>
      </c>
      <c r="J1642" s="489"/>
      <c r="K1642" s="450"/>
      <c r="L1642" s="450"/>
      <c r="M1642" s="490" t="s">
        <v>37</v>
      </c>
      <c r="N1642" s="490">
        <v>10</v>
      </c>
    </row>
    <row r="1643" spans="1:14" ht="34.5" hidden="1" customHeight="1" outlineLevel="3">
      <c r="A1643" s="438"/>
      <c r="B1643" s="457" t="s">
        <v>298</v>
      </c>
      <c r="C1643" s="438" t="s">
        <v>2315</v>
      </c>
      <c r="D1643" s="490" t="s">
        <v>1830</v>
      </c>
      <c r="E1643" s="385"/>
      <c r="F1643" s="385" t="s">
        <v>2128</v>
      </c>
      <c r="G1643" s="459" t="s">
        <v>2321</v>
      </c>
      <c r="H1643" s="401" t="s">
        <v>2322</v>
      </c>
      <c r="I1643" s="402" t="s">
        <v>2323</v>
      </c>
      <c r="J1643" s="489"/>
      <c r="K1643" s="450"/>
      <c r="L1643" s="450"/>
      <c r="M1643" s="490" t="s">
        <v>37</v>
      </c>
      <c r="N1643" s="490">
        <v>9</v>
      </c>
    </row>
    <row r="1644" spans="1:14" s="384" customFormat="1" ht="110.25" hidden="1" customHeight="1" outlineLevel="2" collapsed="1">
      <c r="A1644" s="489" t="s">
        <v>1293</v>
      </c>
      <c r="B1644" s="452" t="s">
        <v>298</v>
      </c>
      <c r="C1644" s="490" t="s">
        <v>2315</v>
      </c>
      <c r="D1644" s="490" t="s">
        <v>1830</v>
      </c>
      <c r="E1644" s="490" t="s">
        <v>2324</v>
      </c>
      <c r="F1644" s="385" t="s">
        <v>2161</v>
      </c>
      <c r="G1644" s="459" t="s">
        <v>2162</v>
      </c>
      <c r="H1644" s="401" t="s">
        <v>2325</v>
      </c>
      <c r="I1644" s="385" t="str">
        <f>CONCATENATE(I1645," ",N1645,M1645," ",I1646," ",N1646,M1646," ",I1647," ",N1647,M1647)</f>
        <v>Ручная расчистка 0,5га. Механизированная расчистка 1,5га. Вырубка угрожающих деревьев 10шт.</v>
      </c>
      <c r="J1644" s="489" t="s">
        <v>365</v>
      </c>
      <c r="K1644" s="450">
        <v>44501</v>
      </c>
      <c r="L1644" s="474">
        <v>44561</v>
      </c>
      <c r="M1644" s="540"/>
      <c r="N1644" s="540"/>
    </row>
    <row r="1645" spans="1:14" ht="23.25" hidden="1" customHeight="1" outlineLevel="3">
      <c r="A1645" s="438"/>
      <c r="B1645" s="457" t="s">
        <v>298</v>
      </c>
      <c r="C1645" s="438" t="s">
        <v>2315</v>
      </c>
      <c r="D1645" s="490" t="s">
        <v>1830</v>
      </c>
      <c r="E1645" s="385"/>
      <c r="F1645" s="385" t="s">
        <v>2161</v>
      </c>
      <c r="G1645" s="459" t="s">
        <v>2162</v>
      </c>
      <c r="H1645" s="401" t="s">
        <v>2326</v>
      </c>
      <c r="I1645" s="385" t="s">
        <v>162</v>
      </c>
      <c r="J1645" s="489"/>
      <c r="K1645" s="450"/>
      <c r="L1645" s="450"/>
      <c r="M1645" s="490" t="s">
        <v>95</v>
      </c>
      <c r="N1645" s="490">
        <v>0.5</v>
      </c>
    </row>
    <row r="1646" spans="1:14" ht="23.25" hidden="1" customHeight="1" outlineLevel="3">
      <c r="A1646" s="438"/>
      <c r="B1646" s="457" t="s">
        <v>298</v>
      </c>
      <c r="C1646" s="438" t="s">
        <v>2315</v>
      </c>
      <c r="D1646" s="490" t="s">
        <v>1830</v>
      </c>
      <c r="E1646" s="385"/>
      <c r="F1646" s="385" t="s">
        <v>2161</v>
      </c>
      <c r="G1646" s="459" t="s">
        <v>2162</v>
      </c>
      <c r="H1646" s="401" t="s">
        <v>2326</v>
      </c>
      <c r="I1646" s="385" t="s">
        <v>159</v>
      </c>
      <c r="J1646" s="489"/>
      <c r="K1646" s="450"/>
      <c r="L1646" s="450"/>
      <c r="M1646" s="490" t="s">
        <v>95</v>
      </c>
      <c r="N1646" s="490">
        <v>1.5</v>
      </c>
    </row>
    <row r="1647" spans="1:14" ht="23.25" hidden="1" customHeight="1" outlineLevel="3">
      <c r="A1647" s="438"/>
      <c r="B1647" s="457" t="s">
        <v>298</v>
      </c>
      <c r="C1647" s="438" t="s">
        <v>2315</v>
      </c>
      <c r="D1647" s="490" t="s">
        <v>1830</v>
      </c>
      <c r="E1647" s="385"/>
      <c r="F1647" s="385"/>
      <c r="G1647" s="385" t="s">
        <v>2327</v>
      </c>
      <c r="H1647" s="401" t="s">
        <v>2326</v>
      </c>
      <c r="I1647" s="385" t="s">
        <v>169</v>
      </c>
      <c r="J1647" s="489"/>
      <c r="K1647" s="450"/>
      <c r="L1647" s="450"/>
      <c r="M1647" s="490" t="s">
        <v>37</v>
      </c>
      <c r="N1647" s="490">
        <v>10</v>
      </c>
    </row>
    <row r="1648" spans="1:14" s="384" customFormat="1" ht="90" hidden="1" customHeight="1" outlineLevel="2" collapsed="1">
      <c r="A1648" s="489" t="s">
        <v>1294</v>
      </c>
      <c r="B1648" s="452" t="s">
        <v>298</v>
      </c>
      <c r="C1648" s="490" t="s">
        <v>2315</v>
      </c>
      <c r="D1648" s="490" t="s">
        <v>1830</v>
      </c>
      <c r="E1648" s="490" t="s">
        <v>2328</v>
      </c>
      <c r="F1648" s="385" t="s">
        <v>2329</v>
      </c>
      <c r="G1648" s="385" t="s">
        <v>2330</v>
      </c>
      <c r="H1648" s="401" t="s">
        <v>2331</v>
      </c>
      <c r="I1648" s="385" t="str">
        <f>CONCATENATE(I1649," ",N1649,M1649," ",I1650," ",N1650,M1650," ",I1651," ",N1651,M1651," ",I1652," ",N1652,M1652," ",I1653," ",N1653,M1653)</f>
        <v>Ручная расчистка 1га. Механизированная расчистка 1,3га. Вырубка угрожающих деревьев 7шт. Замена опор 8шт. Перетяжка провода 0,49км.</v>
      </c>
      <c r="J1648" s="489" t="s">
        <v>365</v>
      </c>
      <c r="K1648" s="450">
        <v>44317</v>
      </c>
      <c r="L1648" s="474">
        <v>44439</v>
      </c>
      <c r="M1648" s="540"/>
      <c r="N1648" s="540"/>
    </row>
    <row r="1649" spans="1:14" ht="23.25" hidden="1" customHeight="1" outlineLevel="3">
      <c r="A1649" s="438"/>
      <c r="B1649" s="457" t="s">
        <v>298</v>
      </c>
      <c r="C1649" s="438" t="s">
        <v>2315</v>
      </c>
      <c r="D1649" s="490" t="s">
        <v>1830</v>
      </c>
      <c r="E1649" s="385"/>
      <c r="F1649" s="385" t="s">
        <v>2161</v>
      </c>
      <c r="G1649" s="459" t="s">
        <v>2162</v>
      </c>
      <c r="H1649" s="401" t="s">
        <v>2333</v>
      </c>
      <c r="I1649" s="385" t="s">
        <v>162</v>
      </c>
      <c r="J1649" s="489"/>
      <c r="K1649" s="450"/>
      <c r="L1649" s="450"/>
      <c r="M1649" s="490" t="s">
        <v>95</v>
      </c>
      <c r="N1649" s="490">
        <v>1</v>
      </c>
    </row>
    <row r="1650" spans="1:14" ht="30" hidden="1" customHeight="1" outlineLevel="3">
      <c r="A1650" s="438"/>
      <c r="B1650" s="457" t="s">
        <v>298</v>
      </c>
      <c r="C1650" s="438" t="s">
        <v>2315</v>
      </c>
      <c r="D1650" s="490" t="s">
        <v>1830</v>
      </c>
      <c r="E1650" s="385"/>
      <c r="F1650" s="385" t="s">
        <v>2161</v>
      </c>
      <c r="G1650" s="459" t="s">
        <v>2162</v>
      </c>
      <c r="H1650" s="401" t="s">
        <v>2334</v>
      </c>
      <c r="I1650" s="385" t="s">
        <v>159</v>
      </c>
      <c r="J1650" s="489"/>
      <c r="K1650" s="450"/>
      <c r="L1650" s="450"/>
      <c r="M1650" s="490" t="s">
        <v>95</v>
      </c>
      <c r="N1650" s="490">
        <v>1.3</v>
      </c>
    </row>
    <row r="1651" spans="1:14" ht="30" hidden="1" customHeight="1" outlineLevel="3">
      <c r="A1651" s="438"/>
      <c r="B1651" s="457" t="s">
        <v>298</v>
      </c>
      <c r="C1651" s="438" t="s">
        <v>2315</v>
      </c>
      <c r="D1651" s="490" t="s">
        <v>1830</v>
      </c>
      <c r="E1651" s="385"/>
      <c r="F1651" s="385"/>
      <c r="G1651" s="385" t="s">
        <v>2327</v>
      </c>
      <c r="H1651" s="401" t="s">
        <v>2334</v>
      </c>
      <c r="I1651" s="385" t="s">
        <v>169</v>
      </c>
      <c r="J1651" s="489"/>
      <c r="K1651" s="450"/>
      <c r="L1651" s="450"/>
      <c r="M1651" s="490" t="s">
        <v>37</v>
      </c>
      <c r="N1651" s="490">
        <v>7</v>
      </c>
    </row>
    <row r="1652" spans="1:14" ht="30" hidden="1" customHeight="1" outlineLevel="3">
      <c r="A1652" s="438"/>
      <c r="B1652" s="457" t="s">
        <v>298</v>
      </c>
      <c r="C1652" s="438" t="s">
        <v>2315</v>
      </c>
      <c r="D1652" s="490" t="s">
        <v>1830</v>
      </c>
      <c r="E1652" s="385"/>
      <c r="F1652" s="385" t="s">
        <v>2335</v>
      </c>
      <c r="G1652" s="385" t="s">
        <v>2336</v>
      </c>
      <c r="H1652" s="401" t="s">
        <v>2337</v>
      </c>
      <c r="I1652" s="385" t="s">
        <v>39</v>
      </c>
      <c r="J1652" s="489"/>
      <c r="K1652" s="450"/>
      <c r="L1652" s="450"/>
      <c r="M1652" s="490" t="s">
        <v>37</v>
      </c>
      <c r="N1652" s="490">
        <v>8</v>
      </c>
    </row>
    <row r="1653" spans="1:14" ht="30" hidden="1" customHeight="1" outlineLevel="3">
      <c r="A1653" s="438"/>
      <c r="B1653" s="457" t="s">
        <v>298</v>
      </c>
      <c r="C1653" s="438" t="s">
        <v>2315</v>
      </c>
      <c r="D1653" s="490" t="s">
        <v>1830</v>
      </c>
      <c r="E1653" s="385"/>
      <c r="F1653" s="385" t="s">
        <v>2335</v>
      </c>
      <c r="G1653" s="385" t="s">
        <v>2336</v>
      </c>
      <c r="H1653" s="401" t="s">
        <v>2338</v>
      </c>
      <c r="I1653" s="385" t="s">
        <v>197</v>
      </c>
      <c r="J1653" s="489"/>
      <c r="K1653" s="450"/>
      <c r="L1653" s="450"/>
      <c r="M1653" s="490" t="s">
        <v>43</v>
      </c>
      <c r="N1653" s="490">
        <v>0.49</v>
      </c>
    </row>
    <row r="1654" spans="1:14" s="384" customFormat="1" ht="81" hidden="1" outlineLevel="2" collapsed="1">
      <c r="A1654" s="489" t="s">
        <v>1295</v>
      </c>
      <c r="B1654" s="452" t="s">
        <v>298</v>
      </c>
      <c r="C1654" s="490" t="s">
        <v>2315</v>
      </c>
      <c r="D1654" s="490" t="s">
        <v>1830</v>
      </c>
      <c r="E1654" s="490" t="s">
        <v>2339</v>
      </c>
      <c r="F1654" s="385" t="s">
        <v>2340</v>
      </c>
      <c r="G1654" s="385"/>
      <c r="H1654" s="401" t="s">
        <v>2341</v>
      </c>
      <c r="I1654" s="385" t="str">
        <f>CONCATENATE(I1655," ",N1655,M1655," ",)</f>
        <v xml:space="preserve">Установка ОПН 3шт. </v>
      </c>
      <c r="J1654" s="489" t="s">
        <v>365</v>
      </c>
      <c r="K1654" s="450">
        <v>44378</v>
      </c>
      <c r="L1654" s="450">
        <v>44408</v>
      </c>
      <c r="M1654" s="540"/>
      <c r="N1654" s="540"/>
    </row>
    <row r="1655" spans="1:14" ht="40.5" hidden="1" customHeight="1" outlineLevel="3">
      <c r="A1655" s="438"/>
      <c r="B1655" s="457" t="s">
        <v>298</v>
      </c>
      <c r="C1655" s="438" t="s">
        <v>2315</v>
      </c>
      <c r="D1655" s="490" t="s">
        <v>1830</v>
      </c>
      <c r="E1655" s="385"/>
      <c r="F1655" s="385"/>
      <c r="G1655" s="385" t="s">
        <v>2342</v>
      </c>
      <c r="H1655" s="401" t="s">
        <v>2343</v>
      </c>
      <c r="I1655" s="402" t="s">
        <v>2217</v>
      </c>
      <c r="J1655" s="489"/>
      <c r="K1655" s="450"/>
      <c r="L1655" s="450"/>
      <c r="M1655" s="490" t="s">
        <v>37</v>
      </c>
      <c r="N1655" s="490">
        <v>3</v>
      </c>
    </row>
    <row r="1656" spans="1:14" s="384" customFormat="1" ht="81" hidden="1" customHeight="1" outlineLevel="2" collapsed="1">
      <c r="A1656" s="489" t="s">
        <v>1554</v>
      </c>
      <c r="B1656" s="452" t="s">
        <v>298</v>
      </c>
      <c r="C1656" s="490" t="s">
        <v>1989</v>
      </c>
      <c r="D1656" s="490" t="s">
        <v>1830</v>
      </c>
      <c r="E1656" s="490" t="s">
        <v>2353</v>
      </c>
      <c r="F1656" s="456" t="s">
        <v>2135</v>
      </c>
      <c r="G1656" s="456" t="s">
        <v>2136</v>
      </c>
      <c r="H1656" s="401" t="s">
        <v>2354</v>
      </c>
      <c r="I1656" s="385" t="str">
        <f>CONCATENATE(I1657," ",N1657,M1657," ",)</f>
        <v xml:space="preserve">Установка разрядников 12шт </v>
      </c>
      <c r="J1656" s="489" t="s">
        <v>365</v>
      </c>
      <c r="K1656" s="450">
        <v>44378</v>
      </c>
      <c r="L1656" s="474">
        <v>44408</v>
      </c>
      <c r="M1656" s="540"/>
      <c r="N1656" s="540"/>
    </row>
    <row r="1657" spans="1:14" hidden="1" outlineLevel="3">
      <c r="A1657" s="438"/>
      <c r="B1657" s="438" t="s">
        <v>298</v>
      </c>
      <c r="C1657" s="408" t="s">
        <v>1989</v>
      </c>
      <c r="D1657" s="490" t="s">
        <v>1830</v>
      </c>
      <c r="E1657" s="385"/>
      <c r="F1657" s="385"/>
      <c r="G1657" s="385"/>
      <c r="H1657" s="401" t="s">
        <v>2355</v>
      </c>
      <c r="I1657" s="402" t="s">
        <v>2133</v>
      </c>
      <c r="J1657" s="489"/>
      <c r="K1657" s="450"/>
      <c r="L1657" s="450"/>
      <c r="M1657" s="490" t="s">
        <v>813</v>
      </c>
      <c r="N1657" s="490">
        <v>12</v>
      </c>
    </row>
    <row r="1658" spans="1:14" s="384" customFormat="1" ht="66.75" hidden="1" customHeight="1" outlineLevel="2" collapsed="1">
      <c r="A1658" s="489" t="s">
        <v>1296</v>
      </c>
      <c r="B1658" s="452" t="s">
        <v>298</v>
      </c>
      <c r="C1658" s="490" t="s">
        <v>1989</v>
      </c>
      <c r="D1658" s="490" t="s">
        <v>1830</v>
      </c>
      <c r="E1658" s="490" t="s">
        <v>2356</v>
      </c>
      <c r="F1658" s="456" t="s">
        <v>2135</v>
      </c>
      <c r="G1658" s="456" t="s">
        <v>2136</v>
      </c>
      <c r="H1658" s="401" t="s">
        <v>2357</v>
      </c>
      <c r="I1658" s="385" t="str">
        <f>CONCATENATE(I1659," ",N1659,M1659," ",)</f>
        <v xml:space="preserve">Установка разрядников 9шт </v>
      </c>
      <c r="J1658" s="489" t="s">
        <v>365</v>
      </c>
      <c r="K1658" s="450">
        <v>44409</v>
      </c>
      <c r="L1658" s="474">
        <v>44439</v>
      </c>
      <c r="M1658" s="540"/>
      <c r="N1658" s="540"/>
    </row>
    <row r="1659" spans="1:14" hidden="1" outlineLevel="3">
      <c r="A1659" s="438"/>
      <c r="B1659" s="438" t="s">
        <v>298</v>
      </c>
      <c r="C1659" s="408" t="s">
        <v>1989</v>
      </c>
      <c r="D1659" s="490" t="s">
        <v>1830</v>
      </c>
      <c r="E1659" s="385"/>
      <c r="F1659" s="385"/>
      <c r="G1659" s="385"/>
      <c r="H1659" s="401" t="s">
        <v>2358</v>
      </c>
      <c r="I1659" s="402" t="s">
        <v>2133</v>
      </c>
      <c r="J1659" s="489"/>
      <c r="K1659" s="450"/>
      <c r="L1659" s="450"/>
      <c r="M1659" s="490" t="s">
        <v>813</v>
      </c>
      <c r="N1659" s="490">
        <v>9</v>
      </c>
    </row>
    <row r="1660" spans="1:14" s="384" customFormat="1" ht="40.5" hidden="1" outlineLevel="2" collapsed="1">
      <c r="A1660" s="489" t="s">
        <v>1757</v>
      </c>
      <c r="B1660" s="452" t="s">
        <v>298</v>
      </c>
      <c r="C1660" s="455" t="s">
        <v>47</v>
      </c>
      <c r="D1660" s="490" t="s">
        <v>1830</v>
      </c>
      <c r="E1660" s="490" t="s">
        <v>2359</v>
      </c>
      <c r="F1660" s="385" t="s">
        <v>303</v>
      </c>
      <c r="G1660" s="385"/>
      <c r="H1660" s="401" t="s">
        <v>2360</v>
      </c>
      <c r="I1660" s="385" t="str">
        <f>CONCATENATE(I1661," ",N1661,M1661," ",I1662," ",N1662,M1662)</f>
        <v>Ручная расчистка 0,1га. Механизированная расчистка 3га.</v>
      </c>
      <c r="J1660" s="489" t="s">
        <v>365</v>
      </c>
      <c r="K1660" s="450">
        <v>44348</v>
      </c>
      <c r="L1660" s="450">
        <v>44408</v>
      </c>
      <c r="M1660" s="540"/>
      <c r="N1660" s="540"/>
    </row>
    <row r="1661" spans="1:14" ht="40.5" hidden="1" outlineLevel="3">
      <c r="A1661" s="438"/>
      <c r="B1661" s="457" t="s">
        <v>298</v>
      </c>
      <c r="C1661" s="457" t="s">
        <v>47</v>
      </c>
      <c r="D1661" s="490" t="s">
        <v>1830</v>
      </c>
      <c r="E1661" s="385"/>
      <c r="F1661" s="385"/>
      <c r="G1661" s="385"/>
      <c r="H1661" s="401" t="s">
        <v>2361</v>
      </c>
      <c r="I1661" s="385" t="s">
        <v>162</v>
      </c>
      <c r="J1661" s="489"/>
      <c r="K1661" s="450"/>
      <c r="L1661" s="450"/>
      <c r="M1661" s="490" t="s">
        <v>95</v>
      </c>
      <c r="N1661" s="490">
        <v>0.1</v>
      </c>
    </row>
    <row r="1662" spans="1:14" ht="40.5" hidden="1" outlineLevel="3">
      <c r="A1662" s="450"/>
      <c r="B1662" s="457" t="s">
        <v>298</v>
      </c>
      <c r="C1662" s="457" t="s">
        <v>47</v>
      </c>
      <c r="D1662" s="490" t="s">
        <v>1830</v>
      </c>
      <c r="E1662" s="385"/>
      <c r="F1662" s="385"/>
      <c r="G1662" s="385"/>
      <c r="H1662" s="401" t="s">
        <v>2361</v>
      </c>
      <c r="I1662" s="385" t="s">
        <v>159</v>
      </c>
      <c r="J1662" s="489"/>
      <c r="K1662" s="450"/>
      <c r="L1662" s="450"/>
      <c r="M1662" s="490" t="s">
        <v>95</v>
      </c>
      <c r="N1662" s="490">
        <v>3</v>
      </c>
    </row>
    <row r="1663" spans="1:14" s="384" customFormat="1" ht="40.5" hidden="1" outlineLevel="2" collapsed="1">
      <c r="A1663" s="489" t="s">
        <v>1297</v>
      </c>
      <c r="B1663" s="452" t="s">
        <v>298</v>
      </c>
      <c r="C1663" s="455" t="s">
        <v>47</v>
      </c>
      <c r="D1663" s="490" t="s">
        <v>1830</v>
      </c>
      <c r="E1663" s="490" t="s">
        <v>2362</v>
      </c>
      <c r="F1663" s="385" t="s">
        <v>303</v>
      </c>
      <c r="G1663" s="385"/>
      <c r="H1663" s="401" t="s">
        <v>2363</v>
      </c>
      <c r="I1663" s="385" t="str">
        <f>CONCATENATE(I1664," ",N1664,M1664," ",I1665," ",N1665,M1665)</f>
        <v>Ручная расчистка 0,2га. Механизированная расчистка 10,8га.</v>
      </c>
      <c r="J1663" s="489" t="s">
        <v>365</v>
      </c>
      <c r="K1663" s="562">
        <v>44409</v>
      </c>
      <c r="L1663" s="450">
        <v>44469</v>
      </c>
      <c r="M1663" s="540"/>
      <c r="N1663" s="540"/>
    </row>
    <row r="1664" spans="1:14" ht="67.5" hidden="1" customHeight="1" outlineLevel="3">
      <c r="A1664" s="438"/>
      <c r="B1664" s="457" t="s">
        <v>298</v>
      </c>
      <c r="C1664" s="457" t="s">
        <v>47</v>
      </c>
      <c r="D1664" s="490" t="s">
        <v>1830</v>
      </c>
      <c r="E1664" s="385"/>
      <c r="F1664" s="385"/>
      <c r="G1664" s="385"/>
      <c r="H1664" s="401" t="s">
        <v>2364</v>
      </c>
      <c r="I1664" s="385" t="s">
        <v>162</v>
      </c>
      <c r="J1664" s="489"/>
      <c r="K1664" s="450"/>
      <c r="L1664" s="450"/>
      <c r="M1664" s="490" t="s">
        <v>95</v>
      </c>
      <c r="N1664" s="490">
        <v>0.2</v>
      </c>
    </row>
    <row r="1665" spans="1:14" ht="67.5" hidden="1" customHeight="1" outlineLevel="3">
      <c r="A1665" s="450"/>
      <c r="B1665" s="457" t="s">
        <v>298</v>
      </c>
      <c r="C1665" s="457" t="s">
        <v>47</v>
      </c>
      <c r="D1665" s="490" t="s">
        <v>1830</v>
      </c>
      <c r="E1665" s="385"/>
      <c r="F1665" s="385"/>
      <c r="G1665" s="385"/>
      <c r="H1665" s="401" t="s">
        <v>2364</v>
      </c>
      <c r="I1665" s="385" t="s">
        <v>159</v>
      </c>
      <c r="J1665" s="489"/>
      <c r="K1665" s="450"/>
      <c r="L1665" s="450"/>
      <c r="M1665" s="490" t="s">
        <v>95</v>
      </c>
      <c r="N1665" s="490">
        <v>10.8</v>
      </c>
    </row>
    <row r="1666" spans="1:14" s="384" customFormat="1" ht="87.75" hidden="1" customHeight="1" outlineLevel="2" collapsed="1">
      <c r="A1666" s="475" t="s">
        <v>1552</v>
      </c>
      <c r="B1666" s="476" t="s">
        <v>298</v>
      </c>
      <c r="C1666" s="457" t="s">
        <v>2126</v>
      </c>
      <c r="D1666" s="398" t="s">
        <v>1830</v>
      </c>
      <c r="E1666" s="483" t="s">
        <v>3501</v>
      </c>
      <c r="F1666" s="385" t="s">
        <v>1941</v>
      </c>
      <c r="G1666" s="385" t="s">
        <v>1942</v>
      </c>
      <c r="H1666" s="401" t="s">
        <v>2376</v>
      </c>
      <c r="I1666" s="385" t="str">
        <f>CONCATENATE(I1667," ",N1667,M1667)</f>
        <v>Установка ПЗУ 96шт.</v>
      </c>
      <c r="J1666" s="489" t="s">
        <v>365</v>
      </c>
      <c r="K1666" s="450">
        <v>44348</v>
      </c>
      <c r="L1666" s="450">
        <v>44469</v>
      </c>
      <c r="M1666" s="540"/>
      <c r="N1666" s="540"/>
    </row>
    <row r="1667" spans="1:14" ht="40.5" hidden="1" outlineLevel="3">
      <c r="A1667" s="475"/>
      <c r="B1667" s="457" t="s">
        <v>298</v>
      </c>
      <c r="C1667" s="457" t="s">
        <v>2126</v>
      </c>
      <c r="D1667" s="490" t="s">
        <v>1830</v>
      </c>
      <c r="E1667" s="483"/>
      <c r="F1667" s="385"/>
      <c r="G1667" s="385" t="s">
        <v>1944</v>
      </c>
      <c r="H1667" s="401" t="s">
        <v>2377</v>
      </c>
      <c r="I1667" s="385" t="s">
        <v>1946</v>
      </c>
      <c r="J1667" s="489"/>
      <c r="K1667" s="450"/>
      <c r="L1667" s="450"/>
      <c r="M1667" s="490" t="s">
        <v>37</v>
      </c>
      <c r="N1667" s="490">
        <v>96</v>
      </c>
    </row>
    <row r="1668" spans="1:14" s="384" customFormat="1" ht="75" hidden="1" customHeight="1" outlineLevel="2" collapsed="1">
      <c r="A1668" s="475" t="s">
        <v>1555</v>
      </c>
      <c r="B1668" s="476" t="s">
        <v>298</v>
      </c>
      <c r="C1668" s="457" t="s">
        <v>2126</v>
      </c>
      <c r="D1668" s="398" t="s">
        <v>1830</v>
      </c>
      <c r="E1668" s="483" t="s">
        <v>3502</v>
      </c>
      <c r="F1668" s="385" t="s">
        <v>1941</v>
      </c>
      <c r="G1668" s="385" t="s">
        <v>1942</v>
      </c>
      <c r="H1668" s="401" t="s">
        <v>2378</v>
      </c>
      <c r="I1668" s="385" t="str">
        <f>CONCATENATE(I1669," ",N1669,M1669)</f>
        <v>Установка ПЗУ 156шт.</v>
      </c>
      <c r="J1668" s="489" t="s">
        <v>365</v>
      </c>
      <c r="K1668" s="450">
        <v>44348</v>
      </c>
      <c r="L1668" s="450">
        <v>44469</v>
      </c>
      <c r="M1668" s="540"/>
      <c r="N1668" s="540"/>
    </row>
    <row r="1669" spans="1:14" ht="40.5" hidden="1" outlineLevel="3">
      <c r="A1669" s="475"/>
      <c r="B1669" s="457" t="s">
        <v>298</v>
      </c>
      <c r="C1669" s="457" t="s">
        <v>2126</v>
      </c>
      <c r="D1669" s="490" t="s">
        <v>1830</v>
      </c>
      <c r="E1669" s="483"/>
      <c r="F1669" s="385"/>
      <c r="G1669" s="385" t="s">
        <v>1944</v>
      </c>
      <c r="H1669" s="401" t="s">
        <v>2379</v>
      </c>
      <c r="I1669" s="385" t="s">
        <v>1946</v>
      </c>
      <c r="J1669" s="489"/>
      <c r="K1669" s="450"/>
      <c r="L1669" s="450"/>
      <c r="M1669" s="490" t="s">
        <v>37</v>
      </c>
      <c r="N1669" s="490">
        <v>156</v>
      </c>
    </row>
    <row r="1670" spans="1:14" s="384" customFormat="1" ht="202.5" hidden="1" outlineLevel="2" collapsed="1">
      <c r="A1670" s="475" t="s">
        <v>1556</v>
      </c>
      <c r="B1670" s="476" t="s">
        <v>298</v>
      </c>
      <c r="C1670" s="457" t="s">
        <v>2126</v>
      </c>
      <c r="D1670" s="398" t="s">
        <v>1830</v>
      </c>
      <c r="E1670" s="483" t="s">
        <v>3503</v>
      </c>
      <c r="F1670" s="385" t="s">
        <v>1941</v>
      </c>
      <c r="G1670" s="385" t="s">
        <v>1942</v>
      </c>
      <c r="H1670" s="401" t="s">
        <v>2380</v>
      </c>
      <c r="I1670" s="385" t="str">
        <f>CONCATENATE(I1671," ",N1671,M1671)</f>
        <v>Установка ПЗУ 19шт.</v>
      </c>
      <c r="J1670" s="489" t="s">
        <v>365</v>
      </c>
      <c r="K1670" s="450">
        <v>44348</v>
      </c>
      <c r="L1670" s="450">
        <v>44469</v>
      </c>
      <c r="M1670" s="540"/>
      <c r="N1670" s="540"/>
    </row>
    <row r="1671" spans="1:14" ht="24.75" hidden="1" customHeight="1" outlineLevel="3">
      <c r="A1671" s="475"/>
      <c r="B1671" s="457" t="s">
        <v>298</v>
      </c>
      <c r="C1671" s="457" t="s">
        <v>2126</v>
      </c>
      <c r="D1671" s="490" t="s">
        <v>1830</v>
      </c>
      <c r="E1671" s="483"/>
      <c r="F1671" s="385"/>
      <c r="G1671" s="385" t="s">
        <v>1944</v>
      </c>
      <c r="H1671" s="401" t="s">
        <v>2381</v>
      </c>
      <c r="I1671" s="385" t="s">
        <v>1946</v>
      </c>
      <c r="J1671" s="489"/>
      <c r="K1671" s="450"/>
      <c r="L1671" s="450"/>
      <c r="M1671" s="490" t="s">
        <v>37</v>
      </c>
      <c r="N1671" s="490">
        <v>19</v>
      </c>
    </row>
    <row r="1672" spans="1:14" s="384" customFormat="1" ht="202.5" hidden="1" outlineLevel="2" collapsed="1">
      <c r="A1672" s="475" t="s">
        <v>1557</v>
      </c>
      <c r="B1672" s="476" t="s">
        <v>298</v>
      </c>
      <c r="C1672" s="438" t="s">
        <v>2126</v>
      </c>
      <c r="D1672" s="398" t="s">
        <v>1830</v>
      </c>
      <c r="E1672" s="483" t="s">
        <v>3504</v>
      </c>
      <c r="F1672" s="385" t="s">
        <v>1941</v>
      </c>
      <c r="G1672" s="385" t="s">
        <v>1942</v>
      </c>
      <c r="H1672" s="401" t="s">
        <v>2382</v>
      </c>
      <c r="I1672" s="385" t="str">
        <f>CONCATENATE(I1673," ",N1673,M1673)</f>
        <v>Установка ПЗУ 82шт.</v>
      </c>
      <c r="J1672" s="489" t="s">
        <v>365</v>
      </c>
      <c r="K1672" s="450">
        <v>44348</v>
      </c>
      <c r="L1672" s="450">
        <v>44469</v>
      </c>
      <c r="M1672" s="540"/>
      <c r="N1672" s="540"/>
    </row>
    <row r="1673" spans="1:14" ht="40.5" hidden="1" outlineLevel="3">
      <c r="A1673" s="475"/>
      <c r="B1673" s="457" t="s">
        <v>298</v>
      </c>
      <c r="C1673" s="457" t="s">
        <v>2126</v>
      </c>
      <c r="D1673" s="490" t="s">
        <v>1830</v>
      </c>
      <c r="E1673" s="483"/>
      <c r="F1673" s="385"/>
      <c r="G1673" s="385" t="s">
        <v>1944</v>
      </c>
      <c r="H1673" s="401" t="s">
        <v>2383</v>
      </c>
      <c r="I1673" s="385" t="s">
        <v>1946</v>
      </c>
      <c r="J1673" s="489"/>
      <c r="K1673" s="450"/>
      <c r="L1673" s="450"/>
      <c r="M1673" s="490" t="s">
        <v>37</v>
      </c>
      <c r="N1673" s="490">
        <v>82</v>
      </c>
    </row>
    <row r="1674" spans="1:14" s="384" customFormat="1" ht="202.5" hidden="1" outlineLevel="2" collapsed="1">
      <c r="A1674" s="475" t="s">
        <v>1567</v>
      </c>
      <c r="B1674" s="476" t="s">
        <v>298</v>
      </c>
      <c r="C1674" s="438" t="s">
        <v>47</v>
      </c>
      <c r="D1674" s="398" t="s">
        <v>1830</v>
      </c>
      <c r="E1674" s="483" t="s">
        <v>3505</v>
      </c>
      <c r="F1674" s="385" t="s">
        <v>1941</v>
      </c>
      <c r="G1674" s="385" t="s">
        <v>1942</v>
      </c>
      <c r="H1674" s="401" t="s">
        <v>2384</v>
      </c>
      <c r="I1674" s="385" t="str">
        <f>CONCATENATE(I1675," ",N1675,M1675)</f>
        <v>Установка ПЗУ 120шт.</v>
      </c>
      <c r="J1674" s="489" t="s">
        <v>365</v>
      </c>
      <c r="K1674" s="450">
        <v>44348</v>
      </c>
      <c r="L1674" s="450">
        <v>44469</v>
      </c>
      <c r="M1674" s="540"/>
      <c r="N1674" s="540"/>
    </row>
    <row r="1675" spans="1:14" ht="60.75" hidden="1" outlineLevel="3">
      <c r="A1675" s="475"/>
      <c r="B1675" s="457" t="s">
        <v>298</v>
      </c>
      <c r="C1675" s="457" t="s">
        <v>47</v>
      </c>
      <c r="D1675" s="490" t="s">
        <v>1830</v>
      </c>
      <c r="E1675" s="483"/>
      <c r="F1675" s="385"/>
      <c r="G1675" s="385" t="s">
        <v>1944</v>
      </c>
      <c r="H1675" s="401" t="s">
        <v>3312</v>
      </c>
      <c r="I1675" s="385" t="s">
        <v>1946</v>
      </c>
      <c r="J1675" s="489"/>
      <c r="K1675" s="450"/>
      <c r="L1675" s="450"/>
      <c r="M1675" s="490" t="s">
        <v>37</v>
      </c>
      <c r="N1675" s="490">
        <v>120</v>
      </c>
    </row>
    <row r="1676" spans="1:14" s="384" customFormat="1" ht="202.5" hidden="1" outlineLevel="2" collapsed="1">
      <c r="A1676" s="475" t="s">
        <v>1568</v>
      </c>
      <c r="B1676" s="476" t="s">
        <v>298</v>
      </c>
      <c r="C1676" s="438" t="s">
        <v>47</v>
      </c>
      <c r="D1676" s="398" t="s">
        <v>1830</v>
      </c>
      <c r="E1676" s="483" t="s">
        <v>2362</v>
      </c>
      <c r="F1676" s="385" t="s">
        <v>1941</v>
      </c>
      <c r="G1676" s="385" t="s">
        <v>1942</v>
      </c>
      <c r="H1676" s="401" t="s">
        <v>2385</v>
      </c>
      <c r="I1676" s="385" t="str">
        <f>CONCATENATE(I1677," ",N1677,M1677)</f>
        <v>Установка ПЗУ 90шт.</v>
      </c>
      <c r="J1676" s="489" t="s">
        <v>365</v>
      </c>
      <c r="K1676" s="450">
        <v>44348</v>
      </c>
      <c r="L1676" s="450">
        <v>44469</v>
      </c>
      <c r="M1676" s="540"/>
      <c r="N1676" s="540"/>
    </row>
    <row r="1677" spans="1:14" ht="40.5" hidden="1" outlineLevel="3">
      <c r="A1677" s="475"/>
      <c r="B1677" s="457" t="s">
        <v>298</v>
      </c>
      <c r="C1677" s="457" t="s">
        <v>47</v>
      </c>
      <c r="D1677" s="490" t="s">
        <v>1830</v>
      </c>
      <c r="E1677" s="483"/>
      <c r="F1677" s="385"/>
      <c r="G1677" s="385" t="s">
        <v>1944</v>
      </c>
      <c r="H1677" s="401" t="s">
        <v>3313</v>
      </c>
      <c r="I1677" s="385" t="s">
        <v>1946</v>
      </c>
      <c r="J1677" s="489"/>
      <c r="K1677" s="450"/>
      <c r="L1677" s="450"/>
      <c r="M1677" s="490" t="s">
        <v>37</v>
      </c>
      <c r="N1677" s="490">
        <v>90</v>
      </c>
    </row>
    <row r="1678" spans="1:14" s="384" customFormat="1" ht="202.5" hidden="1" outlineLevel="2" collapsed="1">
      <c r="A1678" s="475" t="s">
        <v>1828</v>
      </c>
      <c r="B1678" s="476" t="s">
        <v>298</v>
      </c>
      <c r="C1678" s="438" t="s">
        <v>47</v>
      </c>
      <c r="D1678" s="398" t="s">
        <v>1830</v>
      </c>
      <c r="E1678" s="483" t="s">
        <v>3506</v>
      </c>
      <c r="F1678" s="385" t="s">
        <v>1941</v>
      </c>
      <c r="G1678" s="385" t="s">
        <v>1942</v>
      </c>
      <c r="H1678" s="401" t="s">
        <v>2386</v>
      </c>
      <c r="I1678" s="385" t="str">
        <f>CONCATENATE(I1679," ",N1679,M1679)</f>
        <v>Установка ПЗУ 60шт.</v>
      </c>
      <c r="J1678" s="489" t="s">
        <v>365</v>
      </c>
      <c r="K1678" s="450">
        <v>44348</v>
      </c>
      <c r="L1678" s="450">
        <v>44469</v>
      </c>
      <c r="M1678" s="540"/>
      <c r="N1678" s="540"/>
    </row>
    <row r="1679" spans="1:14" ht="40.5" hidden="1" outlineLevel="3">
      <c r="A1679" s="475"/>
      <c r="B1679" s="457" t="s">
        <v>298</v>
      </c>
      <c r="C1679" s="457" t="s">
        <v>47</v>
      </c>
      <c r="D1679" s="490" t="s">
        <v>1830</v>
      </c>
      <c r="E1679" s="483"/>
      <c r="F1679" s="385"/>
      <c r="G1679" s="385" t="s">
        <v>1944</v>
      </c>
      <c r="H1679" s="401" t="s">
        <v>3314</v>
      </c>
      <c r="I1679" s="385" t="s">
        <v>1946</v>
      </c>
      <c r="J1679" s="489"/>
      <c r="K1679" s="450"/>
      <c r="L1679" s="450"/>
      <c r="M1679" s="490" t="s">
        <v>37</v>
      </c>
      <c r="N1679" s="490">
        <v>60</v>
      </c>
    </row>
    <row r="1680" spans="1:14" s="384" customFormat="1" ht="97.5" hidden="1" customHeight="1" outlineLevel="2" collapsed="1">
      <c r="A1680" s="475" t="s">
        <v>3292</v>
      </c>
      <c r="B1680" s="412" t="s">
        <v>298</v>
      </c>
      <c r="C1680" s="438" t="s">
        <v>47</v>
      </c>
      <c r="D1680" s="398" t="s">
        <v>1830</v>
      </c>
      <c r="E1680" s="483" t="s">
        <v>3507</v>
      </c>
      <c r="F1680" s="385" t="s">
        <v>1941</v>
      </c>
      <c r="G1680" s="385" t="s">
        <v>1942</v>
      </c>
      <c r="H1680" s="401" t="s">
        <v>2387</v>
      </c>
      <c r="I1680" s="385" t="str">
        <f>CONCATENATE(I1681," ",N1681,M1681)</f>
        <v>Установка ПЗУ 90шт.</v>
      </c>
      <c r="J1680" s="489" t="s">
        <v>365</v>
      </c>
      <c r="K1680" s="450">
        <v>44348</v>
      </c>
      <c r="L1680" s="450">
        <v>44469</v>
      </c>
      <c r="M1680" s="540"/>
      <c r="N1680" s="540"/>
    </row>
    <row r="1681" spans="1:69" ht="40.5" hidden="1" outlineLevel="3">
      <c r="A1681" s="475"/>
      <c r="B1681" s="457" t="s">
        <v>298</v>
      </c>
      <c r="C1681" s="457" t="s">
        <v>47</v>
      </c>
      <c r="D1681" s="490" t="s">
        <v>1830</v>
      </c>
      <c r="E1681" s="483"/>
      <c r="F1681" s="385"/>
      <c r="G1681" s="385" t="s">
        <v>1944</v>
      </c>
      <c r="H1681" s="401" t="s">
        <v>3315</v>
      </c>
      <c r="I1681" s="385" t="s">
        <v>1946</v>
      </c>
      <c r="J1681" s="489"/>
      <c r="K1681" s="450"/>
      <c r="L1681" s="450"/>
      <c r="M1681" s="490" t="s">
        <v>37</v>
      </c>
      <c r="N1681" s="490">
        <v>90</v>
      </c>
    </row>
    <row r="1682" spans="1:69" s="384" customFormat="1" ht="87.75" hidden="1" customHeight="1" outlineLevel="2" collapsed="1">
      <c r="A1682" s="475" t="s">
        <v>3328</v>
      </c>
      <c r="B1682" s="412" t="s">
        <v>298</v>
      </c>
      <c r="C1682" s="438" t="s">
        <v>47</v>
      </c>
      <c r="D1682" s="398" t="s">
        <v>1830</v>
      </c>
      <c r="E1682" s="483" t="s">
        <v>3508</v>
      </c>
      <c r="F1682" s="385" t="s">
        <v>1941</v>
      </c>
      <c r="G1682" s="385" t="s">
        <v>1942</v>
      </c>
      <c r="H1682" s="401" t="s">
        <v>2388</v>
      </c>
      <c r="I1682" s="385" t="str">
        <f>CONCATENATE(I1683," ",N1683,M1683)</f>
        <v>Установка ПЗУ 204шт.</v>
      </c>
      <c r="J1682" s="489" t="s">
        <v>365</v>
      </c>
      <c r="K1682" s="450">
        <v>44348</v>
      </c>
      <c r="L1682" s="450">
        <v>44469</v>
      </c>
      <c r="M1682" s="540"/>
      <c r="N1682" s="540"/>
    </row>
    <row r="1683" spans="1:69" ht="40.5" hidden="1" outlineLevel="3">
      <c r="A1683" s="475"/>
      <c r="B1683" s="457" t="s">
        <v>298</v>
      </c>
      <c r="C1683" s="457" t="s">
        <v>47</v>
      </c>
      <c r="D1683" s="490" t="s">
        <v>1830</v>
      </c>
      <c r="E1683" s="483"/>
      <c r="F1683" s="385"/>
      <c r="G1683" s="385" t="s">
        <v>1944</v>
      </c>
      <c r="H1683" s="401" t="s">
        <v>3316</v>
      </c>
      <c r="I1683" s="385" t="s">
        <v>1946</v>
      </c>
      <c r="J1683" s="489"/>
      <c r="K1683" s="450"/>
      <c r="L1683" s="450"/>
      <c r="M1683" s="490" t="s">
        <v>37</v>
      </c>
      <c r="N1683" s="490">
        <v>204</v>
      </c>
    </row>
    <row r="1684" spans="1:69" s="384" customFormat="1" ht="95.25" hidden="1" customHeight="1" outlineLevel="2" collapsed="1">
      <c r="A1684" s="475" t="s">
        <v>3329</v>
      </c>
      <c r="B1684" s="412" t="s">
        <v>298</v>
      </c>
      <c r="C1684" s="438" t="s">
        <v>47</v>
      </c>
      <c r="D1684" s="398" t="s">
        <v>1830</v>
      </c>
      <c r="E1684" s="483" t="s">
        <v>3505</v>
      </c>
      <c r="F1684" s="385" t="s">
        <v>1941</v>
      </c>
      <c r="G1684" s="385" t="s">
        <v>1942</v>
      </c>
      <c r="H1684" s="401" t="s">
        <v>2389</v>
      </c>
      <c r="I1684" s="385" t="str">
        <f>CONCATENATE(I1685," ",N1685,M1685)</f>
        <v>Установка ПЗУ 30шт.</v>
      </c>
      <c r="J1684" s="489" t="s">
        <v>365</v>
      </c>
      <c r="K1684" s="450">
        <v>44348</v>
      </c>
      <c r="L1684" s="450">
        <v>44469</v>
      </c>
      <c r="M1684" s="540"/>
      <c r="N1684" s="540"/>
    </row>
    <row r="1685" spans="1:69" ht="40.5" hidden="1" outlineLevel="3">
      <c r="A1685" s="475"/>
      <c r="B1685" s="457" t="s">
        <v>298</v>
      </c>
      <c r="C1685" s="457" t="s">
        <v>47</v>
      </c>
      <c r="D1685" s="490" t="s">
        <v>1830</v>
      </c>
      <c r="E1685" s="483"/>
      <c r="F1685" s="385"/>
      <c r="G1685" s="385" t="s">
        <v>1944</v>
      </c>
      <c r="H1685" s="401" t="s">
        <v>3317</v>
      </c>
      <c r="I1685" s="385" t="s">
        <v>1946</v>
      </c>
      <c r="J1685" s="489"/>
      <c r="K1685" s="450"/>
      <c r="L1685" s="450"/>
      <c r="M1685" s="490" t="s">
        <v>37</v>
      </c>
      <c r="N1685" s="490">
        <v>30</v>
      </c>
    </row>
    <row r="1686" spans="1:69" s="384" customFormat="1" ht="202.5" hidden="1" outlineLevel="2" collapsed="1">
      <c r="A1686" s="475" t="s">
        <v>3330</v>
      </c>
      <c r="B1686" s="412" t="s">
        <v>298</v>
      </c>
      <c r="C1686" s="438" t="s">
        <v>47</v>
      </c>
      <c r="D1686" s="398" t="s">
        <v>1830</v>
      </c>
      <c r="E1686" s="483" t="s">
        <v>3509</v>
      </c>
      <c r="F1686" s="385" t="s">
        <v>1941</v>
      </c>
      <c r="G1686" s="385" t="s">
        <v>1942</v>
      </c>
      <c r="H1686" s="401" t="s">
        <v>2390</v>
      </c>
      <c r="I1686" s="385" t="str">
        <f>CONCATENATE(I1687," ",N1687,M1687)</f>
        <v>Установка ПЗУ 102шт.</v>
      </c>
      <c r="J1686" s="489" t="s">
        <v>365</v>
      </c>
      <c r="K1686" s="450">
        <v>44348</v>
      </c>
      <c r="L1686" s="450">
        <v>44469</v>
      </c>
      <c r="M1686" s="540"/>
      <c r="N1686" s="540"/>
    </row>
    <row r="1687" spans="1:69" ht="60.75" hidden="1" outlineLevel="3">
      <c r="A1687" s="475"/>
      <c r="B1687" s="457" t="s">
        <v>298</v>
      </c>
      <c r="C1687" s="457" t="s">
        <v>47</v>
      </c>
      <c r="D1687" s="490" t="s">
        <v>1830</v>
      </c>
      <c r="E1687" s="483"/>
      <c r="F1687" s="385"/>
      <c r="G1687" s="385" t="s">
        <v>1944</v>
      </c>
      <c r="H1687" s="401" t="s">
        <v>3318</v>
      </c>
      <c r="I1687" s="385" t="s">
        <v>1946</v>
      </c>
      <c r="J1687" s="489"/>
      <c r="K1687" s="450"/>
      <c r="L1687" s="450"/>
      <c r="M1687" s="490" t="s">
        <v>37</v>
      </c>
      <c r="N1687" s="490">
        <v>102</v>
      </c>
    </row>
    <row r="1688" spans="1:69" s="384" customFormat="1" ht="202.5" hidden="1" outlineLevel="2" collapsed="1">
      <c r="A1688" s="475" t="s">
        <v>3331</v>
      </c>
      <c r="B1688" s="412" t="s">
        <v>298</v>
      </c>
      <c r="C1688" s="438" t="s">
        <v>47</v>
      </c>
      <c r="D1688" s="398" t="s">
        <v>1830</v>
      </c>
      <c r="E1688" s="483" t="s">
        <v>3510</v>
      </c>
      <c r="F1688" s="385" t="s">
        <v>1941</v>
      </c>
      <c r="G1688" s="385" t="s">
        <v>1942</v>
      </c>
      <c r="H1688" s="401" t="s">
        <v>2391</v>
      </c>
      <c r="I1688" s="385" t="str">
        <f>CONCATENATE(I1689," ",N1689,M1689)</f>
        <v>Установка ПЗУ 90шт.</v>
      </c>
      <c r="J1688" s="489" t="s">
        <v>365</v>
      </c>
      <c r="K1688" s="450">
        <v>44348</v>
      </c>
      <c r="L1688" s="450">
        <v>44469</v>
      </c>
      <c r="M1688" s="540"/>
      <c r="N1688" s="540"/>
    </row>
    <row r="1689" spans="1:69" ht="40.5" hidden="1" outlineLevel="3">
      <c r="A1689" s="475"/>
      <c r="B1689" s="457" t="s">
        <v>298</v>
      </c>
      <c r="C1689" s="457" t="s">
        <v>47</v>
      </c>
      <c r="D1689" s="490" t="s">
        <v>1830</v>
      </c>
      <c r="E1689" s="483"/>
      <c r="F1689" s="385"/>
      <c r="G1689" s="385" t="s">
        <v>1944</v>
      </c>
      <c r="H1689" s="401" t="s">
        <v>3319</v>
      </c>
      <c r="I1689" s="385" t="s">
        <v>1946</v>
      </c>
      <c r="J1689" s="489"/>
      <c r="K1689" s="450"/>
      <c r="L1689" s="450"/>
      <c r="M1689" s="490" t="s">
        <v>37</v>
      </c>
      <c r="N1689" s="490">
        <v>90</v>
      </c>
    </row>
    <row r="1690" spans="1:69" s="384" customFormat="1" ht="202.5" hidden="1" outlineLevel="2" collapsed="1">
      <c r="A1690" s="475" t="s">
        <v>3332</v>
      </c>
      <c r="B1690" s="412" t="s">
        <v>298</v>
      </c>
      <c r="C1690" s="438" t="s">
        <v>47</v>
      </c>
      <c r="D1690" s="398" t="s">
        <v>1830</v>
      </c>
      <c r="E1690" s="483" t="s">
        <v>3511</v>
      </c>
      <c r="F1690" s="385" t="s">
        <v>1941</v>
      </c>
      <c r="G1690" s="385" t="s">
        <v>1942</v>
      </c>
      <c r="H1690" s="401" t="s">
        <v>2392</v>
      </c>
      <c r="I1690" s="385" t="str">
        <f>CONCATENATE(I1691," ",N1691,M1691)</f>
        <v>Установка ПЗУ 75шт.</v>
      </c>
      <c r="J1690" s="489" t="s">
        <v>365</v>
      </c>
      <c r="K1690" s="450">
        <v>44348</v>
      </c>
      <c r="L1690" s="450">
        <v>44469</v>
      </c>
      <c r="M1690" s="540"/>
      <c r="N1690" s="540"/>
    </row>
    <row r="1691" spans="1:69" ht="81" hidden="1" outlineLevel="3">
      <c r="A1691" s="475"/>
      <c r="B1691" s="457" t="s">
        <v>298</v>
      </c>
      <c r="C1691" s="457" t="s">
        <v>47</v>
      </c>
      <c r="D1691" s="490" t="s">
        <v>1830</v>
      </c>
      <c r="E1691" s="483"/>
      <c r="F1691" s="385"/>
      <c r="G1691" s="385" t="s">
        <v>1944</v>
      </c>
      <c r="H1691" s="401" t="s">
        <v>3320</v>
      </c>
      <c r="I1691" s="385" t="s">
        <v>1946</v>
      </c>
      <c r="J1691" s="489"/>
      <c r="K1691" s="450"/>
      <c r="L1691" s="450"/>
      <c r="M1691" s="490" t="s">
        <v>37</v>
      </c>
      <c r="N1691" s="490">
        <v>75</v>
      </c>
    </row>
    <row r="1692" spans="1:69" s="384" customFormat="1" ht="202.5" hidden="1" outlineLevel="2" collapsed="1">
      <c r="A1692" s="475" t="s">
        <v>3333</v>
      </c>
      <c r="B1692" s="412" t="s">
        <v>298</v>
      </c>
      <c r="C1692" s="438" t="s">
        <v>47</v>
      </c>
      <c r="D1692" s="398" t="s">
        <v>1830</v>
      </c>
      <c r="E1692" s="483" t="s">
        <v>2359</v>
      </c>
      <c r="F1692" s="385" t="s">
        <v>1941</v>
      </c>
      <c r="G1692" s="385" t="s">
        <v>1942</v>
      </c>
      <c r="H1692" s="401" t="s">
        <v>2393</v>
      </c>
      <c r="I1692" s="385" t="str">
        <f>CONCATENATE(I1693," ",N1693,M1693)</f>
        <v>Установка ПЗУ 102шт.</v>
      </c>
      <c r="J1692" s="489" t="s">
        <v>365</v>
      </c>
      <c r="K1692" s="450">
        <v>44348</v>
      </c>
      <c r="L1692" s="450">
        <v>44469</v>
      </c>
      <c r="M1692" s="540"/>
      <c r="N1692" s="540"/>
    </row>
    <row r="1693" spans="1:69" ht="40.5" hidden="1" outlineLevel="3">
      <c r="A1693" s="475"/>
      <c r="B1693" s="457" t="s">
        <v>298</v>
      </c>
      <c r="C1693" s="457" t="s">
        <v>47</v>
      </c>
      <c r="D1693" s="490" t="s">
        <v>1830</v>
      </c>
      <c r="E1693" s="483"/>
      <c r="F1693" s="385"/>
      <c r="G1693" s="385" t="s">
        <v>1944</v>
      </c>
      <c r="H1693" s="401" t="s">
        <v>2394</v>
      </c>
      <c r="I1693" s="385" t="s">
        <v>1946</v>
      </c>
      <c r="J1693" s="489"/>
      <c r="K1693" s="450"/>
      <c r="L1693" s="450"/>
      <c r="M1693" s="490" t="s">
        <v>37</v>
      </c>
      <c r="N1693" s="490">
        <v>102</v>
      </c>
    </row>
    <row r="1694" spans="1:69" s="384" customFormat="1" ht="123" hidden="1" customHeight="1" outlineLevel="2" collapsed="1">
      <c r="A1694" s="475" t="s">
        <v>3334</v>
      </c>
      <c r="B1694" s="412" t="s">
        <v>298</v>
      </c>
      <c r="C1694" s="438" t="s">
        <v>47</v>
      </c>
      <c r="D1694" s="398" t="s">
        <v>1830</v>
      </c>
      <c r="E1694" s="483" t="s">
        <v>2359</v>
      </c>
      <c r="F1694" s="385" t="s">
        <v>1941</v>
      </c>
      <c r="G1694" s="385" t="s">
        <v>1942</v>
      </c>
      <c r="H1694" s="401" t="s">
        <v>2395</v>
      </c>
      <c r="I1694" s="385" t="str">
        <f>CONCATENATE(I1695," ",N1695,M1695)</f>
        <v>Установка ПЗУ 120шт.</v>
      </c>
      <c r="J1694" s="489" t="s">
        <v>365</v>
      </c>
      <c r="K1694" s="450">
        <v>44348</v>
      </c>
      <c r="L1694" s="450">
        <v>44469</v>
      </c>
      <c r="M1694" s="540"/>
      <c r="N1694" s="540"/>
    </row>
    <row r="1695" spans="1:69" ht="40.5" hidden="1" outlineLevel="3">
      <c r="A1695" s="475"/>
      <c r="B1695" s="457" t="s">
        <v>298</v>
      </c>
      <c r="C1695" s="457" t="s">
        <v>47</v>
      </c>
      <c r="D1695" s="490" t="s">
        <v>1830</v>
      </c>
      <c r="E1695" s="385"/>
      <c r="F1695" s="385"/>
      <c r="G1695" s="385" t="s">
        <v>1944</v>
      </c>
      <c r="H1695" s="401" t="s">
        <v>3321</v>
      </c>
      <c r="I1695" s="385" t="s">
        <v>1946</v>
      </c>
      <c r="J1695" s="489"/>
      <c r="K1695" s="450"/>
      <c r="L1695" s="450"/>
      <c r="M1695" s="490" t="s">
        <v>37</v>
      </c>
      <c r="N1695" s="490">
        <v>120</v>
      </c>
    </row>
    <row r="1696" spans="1:69" s="433" customFormat="1" outlineLevel="1" collapsed="1">
      <c r="A1696" s="403" t="s">
        <v>900</v>
      </c>
      <c r="B1696" s="403"/>
      <c r="C1696" s="403"/>
      <c r="D1696" s="403"/>
      <c r="E1696" s="490"/>
      <c r="F1696" s="385"/>
      <c r="G1696" s="385"/>
      <c r="H1696" s="539" t="s">
        <v>901</v>
      </c>
      <c r="I1696" s="385"/>
      <c r="J1696" s="489"/>
      <c r="K1696" s="450"/>
      <c r="L1696" s="450"/>
      <c r="M1696" s="432"/>
      <c r="N1696" s="432"/>
      <c r="O1696" s="377"/>
      <c r="P1696" s="377"/>
      <c r="Q1696" s="377"/>
      <c r="R1696" s="377"/>
      <c r="S1696" s="377"/>
      <c r="T1696" s="377"/>
      <c r="U1696" s="377"/>
      <c r="V1696" s="377"/>
      <c r="W1696" s="377"/>
      <c r="X1696" s="377"/>
      <c r="Y1696" s="377"/>
      <c r="Z1696" s="377"/>
      <c r="AA1696" s="377"/>
      <c r="AB1696" s="377"/>
      <c r="AC1696" s="377"/>
      <c r="AD1696" s="377"/>
      <c r="AE1696" s="377"/>
      <c r="AF1696" s="377"/>
      <c r="AG1696" s="377"/>
      <c r="AH1696" s="377"/>
      <c r="AI1696" s="377"/>
      <c r="AJ1696" s="377"/>
      <c r="AK1696" s="377"/>
      <c r="AL1696" s="377"/>
      <c r="AM1696" s="377"/>
      <c r="AN1696" s="377"/>
      <c r="AO1696" s="377"/>
      <c r="AP1696" s="377"/>
      <c r="AQ1696" s="377"/>
      <c r="AR1696" s="377"/>
      <c r="AS1696" s="377"/>
      <c r="AT1696" s="377"/>
      <c r="AU1696" s="377"/>
      <c r="AV1696" s="377"/>
      <c r="AW1696" s="377"/>
      <c r="AX1696" s="377"/>
      <c r="AY1696" s="377"/>
      <c r="AZ1696" s="377"/>
      <c r="BA1696" s="377"/>
      <c r="BB1696" s="377"/>
      <c r="BC1696" s="377"/>
      <c r="BD1696" s="377"/>
      <c r="BE1696" s="377"/>
      <c r="BF1696" s="377"/>
      <c r="BG1696" s="377"/>
      <c r="BH1696" s="377"/>
      <c r="BI1696" s="377"/>
      <c r="BJ1696" s="377"/>
      <c r="BK1696" s="377"/>
      <c r="BL1696" s="377"/>
      <c r="BM1696" s="377"/>
      <c r="BN1696" s="377"/>
      <c r="BO1696" s="377"/>
      <c r="BP1696" s="377"/>
      <c r="BQ1696" s="377"/>
    </row>
    <row r="1697" spans="1:14" s="384" customFormat="1" ht="40.5" hidden="1" outlineLevel="2" collapsed="1">
      <c r="A1697" s="412" t="s">
        <v>3335</v>
      </c>
      <c r="B1697" s="452" t="s">
        <v>298</v>
      </c>
      <c r="C1697" s="452" t="s">
        <v>2126</v>
      </c>
      <c r="D1697" s="398" t="s">
        <v>1830</v>
      </c>
      <c r="E1697" s="490" t="s">
        <v>2198</v>
      </c>
      <c r="F1697" s="385" t="s">
        <v>303</v>
      </c>
      <c r="G1697" s="385"/>
      <c r="H1697" s="401" t="s">
        <v>2199</v>
      </c>
      <c r="I1697" s="385" t="str">
        <f>CONCATENATE(I1698," ",N1698,M1698," ",I1699," ",N1699,M1699," "," ",,)</f>
        <v xml:space="preserve">Демонтаж муфт 1шт Монтаж муфт 1шт  </v>
      </c>
      <c r="J1697" s="489" t="s">
        <v>365</v>
      </c>
      <c r="K1697" s="450">
        <v>44409</v>
      </c>
      <c r="L1697" s="474">
        <v>44439</v>
      </c>
      <c r="M1697" s="540"/>
      <c r="N1697" s="540"/>
    </row>
    <row r="1698" spans="1:14" hidden="1" outlineLevel="3">
      <c r="A1698" s="475"/>
      <c r="B1698" s="476" t="s">
        <v>298</v>
      </c>
      <c r="C1698" s="473" t="s">
        <v>2126</v>
      </c>
      <c r="D1698" s="490" t="s">
        <v>1830</v>
      </c>
      <c r="E1698" s="385"/>
      <c r="F1698" s="385"/>
      <c r="G1698" s="385"/>
      <c r="H1698" s="401" t="s">
        <v>2200</v>
      </c>
      <c r="I1698" s="402" t="s">
        <v>200</v>
      </c>
      <c r="J1698" s="489"/>
      <c r="K1698" s="450"/>
      <c r="L1698" s="450"/>
      <c r="M1698" s="490" t="s">
        <v>813</v>
      </c>
      <c r="N1698" s="490">
        <v>1</v>
      </c>
    </row>
    <row r="1699" spans="1:14" hidden="1" outlineLevel="3">
      <c r="A1699" s="475"/>
      <c r="B1699" s="476" t="s">
        <v>298</v>
      </c>
      <c r="C1699" s="473" t="s">
        <v>2126</v>
      </c>
      <c r="D1699" s="490" t="s">
        <v>1830</v>
      </c>
      <c r="E1699" s="385"/>
      <c r="F1699" s="385"/>
      <c r="G1699" s="385"/>
      <c r="H1699" s="401"/>
      <c r="I1699" s="402" t="s">
        <v>198</v>
      </c>
      <c r="J1699" s="489"/>
      <c r="K1699" s="450"/>
      <c r="L1699" s="450"/>
      <c r="M1699" s="490" t="s">
        <v>813</v>
      </c>
      <c r="N1699" s="490">
        <v>1</v>
      </c>
    </row>
    <row r="1700" spans="1:14" s="384" customFormat="1" ht="40.5" hidden="1" outlineLevel="2" collapsed="1">
      <c r="A1700" s="412" t="s">
        <v>1299</v>
      </c>
      <c r="B1700" s="452" t="s">
        <v>298</v>
      </c>
      <c r="C1700" s="452" t="s">
        <v>2126</v>
      </c>
      <c r="D1700" s="398" t="s">
        <v>1830</v>
      </c>
      <c r="E1700" s="490" t="s">
        <v>2201</v>
      </c>
      <c r="F1700" s="385" t="s">
        <v>303</v>
      </c>
      <c r="G1700" s="385"/>
      <c r="H1700" s="401" t="s">
        <v>2202</v>
      </c>
      <c r="I1700" s="385" t="str">
        <f>CONCATENATE(I1701," ",N1701,M1701," ",I1702," ",N1702,M1702," "," ",,)</f>
        <v xml:space="preserve">Демонтаж муфт 1шт Монтаж муфт 1шт  </v>
      </c>
      <c r="J1700" s="489" t="s">
        <v>365</v>
      </c>
      <c r="K1700" s="450">
        <v>44440</v>
      </c>
      <c r="L1700" s="474">
        <v>44469</v>
      </c>
      <c r="M1700" s="540"/>
      <c r="N1700" s="540"/>
    </row>
    <row r="1701" spans="1:14" hidden="1" outlineLevel="3">
      <c r="A1701" s="475"/>
      <c r="B1701" s="476" t="s">
        <v>298</v>
      </c>
      <c r="C1701" s="473" t="s">
        <v>2126</v>
      </c>
      <c r="D1701" s="490" t="s">
        <v>1830</v>
      </c>
      <c r="E1701" s="385"/>
      <c r="F1701" s="385"/>
      <c r="G1701" s="385"/>
      <c r="H1701" s="401" t="s">
        <v>2203</v>
      </c>
      <c r="I1701" s="402" t="s">
        <v>200</v>
      </c>
      <c r="J1701" s="489"/>
      <c r="K1701" s="450"/>
      <c r="L1701" s="450"/>
      <c r="M1701" s="490" t="s">
        <v>813</v>
      </c>
      <c r="N1701" s="490">
        <v>1</v>
      </c>
    </row>
    <row r="1702" spans="1:14" hidden="1" outlineLevel="3">
      <c r="A1702" s="475"/>
      <c r="B1702" s="476" t="s">
        <v>298</v>
      </c>
      <c r="C1702" s="473" t="s">
        <v>2126</v>
      </c>
      <c r="D1702" s="490" t="s">
        <v>1830</v>
      </c>
      <c r="E1702" s="385"/>
      <c r="F1702" s="385"/>
      <c r="G1702" s="385"/>
      <c r="H1702" s="401"/>
      <c r="I1702" s="402" t="s">
        <v>198</v>
      </c>
      <c r="J1702" s="489"/>
      <c r="K1702" s="450"/>
      <c r="L1702" s="450"/>
      <c r="M1702" s="490" t="s">
        <v>813</v>
      </c>
      <c r="N1702" s="490">
        <v>1</v>
      </c>
    </row>
    <row r="1703" spans="1:14" s="384" customFormat="1" ht="40.5" hidden="1" outlineLevel="2" collapsed="1">
      <c r="A1703" s="412" t="s">
        <v>1300</v>
      </c>
      <c r="B1703" s="452" t="s">
        <v>298</v>
      </c>
      <c r="C1703" s="452" t="s">
        <v>2126</v>
      </c>
      <c r="D1703" s="398" t="s">
        <v>1830</v>
      </c>
      <c r="E1703" s="490" t="s">
        <v>2204</v>
      </c>
      <c r="F1703" s="385" t="s">
        <v>303</v>
      </c>
      <c r="G1703" s="385"/>
      <c r="H1703" s="401" t="s">
        <v>2205</v>
      </c>
      <c r="I1703" s="385" t="str">
        <f>CONCATENATE(I1704," ",N1704,M1704," ",I1705," ",N1705,M1705," "," ",,)</f>
        <v xml:space="preserve">Демонтаж муфт 1шт Монтаж муфт 1шт  </v>
      </c>
      <c r="J1703" s="489" t="s">
        <v>365</v>
      </c>
      <c r="K1703" s="450">
        <v>44317</v>
      </c>
      <c r="L1703" s="474">
        <v>44347</v>
      </c>
      <c r="M1703" s="540"/>
      <c r="N1703" s="540"/>
    </row>
    <row r="1704" spans="1:14" hidden="1" outlineLevel="3">
      <c r="A1704" s="475"/>
      <c r="B1704" s="476" t="s">
        <v>298</v>
      </c>
      <c r="C1704" s="473" t="s">
        <v>2126</v>
      </c>
      <c r="D1704" s="490" t="s">
        <v>1830</v>
      </c>
      <c r="E1704" s="385"/>
      <c r="F1704" s="385"/>
      <c r="G1704" s="385"/>
      <c r="H1704" s="401" t="s">
        <v>2206</v>
      </c>
      <c r="I1704" s="402" t="s">
        <v>200</v>
      </c>
      <c r="J1704" s="489"/>
      <c r="K1704" s="450"/>
      <c r="L1704" s="450"/>
      <c r="M1704" s="490" t="s">
        <v>813</v>
      </c>
      <c r="N1704" s="490">
        <v>1</v>
      </c>
    </row>
    <row r="1705" spans="1:14" hidden="1" outlineLevel="3">
      <c r="A1705" s="475"/>
      <c r="B1705" s="476" t="s">
        <v>298</v>
      </c>
      <c r="C1705" s="473" t="s">
        <v>2126</v>
      </c>
      <c r="D1705" s="490" t="s">
        <v>1830</v>
      </c>
      <c r="E1705" s="385"/>
      <c r="F1705" s="385"/>
      <c r="G1705" s="385"/>
      <c r="H1705" s="401"/>
      <c r="I1705" s="402" t="s">
        <v>198</v>
      </c>
      <c r="J1705" s="489"/>
      <c r="K1705" s="450"/>
      <c r="L1705" s="450"/>
      <c r="M1705" s="490" t="s">
        <v>813</v>
      </c>
      <c r="N1705" s="490">
        <v>1</v>
      </c>
    </row>
    <row r="1706" spans="1:14" s="384" customFormat="1" ht="60.75" hidden="1" outlineLevel="2" collapsed="1">
      <c r="A1706" s="489" t="s">
        <v>1301</v>
      </c>
      <c r="B1706" s="452" t="s">
        <v>298</v>
      </c>
      <c r="C1706" s="452" t="s">
        <v>2126</v>
      </c>
      <c r="D1706" s="398" t="s">
        <v>1830</v>
      </c>
      <c r="E1706" s="490" t="s">
        <v>2207</v>
      </c>
      <c r="F1706" s="385" t="s">
        <v>303</v>
      </c>
      <c r="G1706" s="385"/>
      <c r="H1706" s="401" t="s">
        <v>2208</v>
      </c>
      <c r="I1706" s="385" t="str">
        <f>CONCATENATE(I1707," ",N1707,M1707," ",I1708," ",N1708,M1708," "," ",,)</f>
        <v xml:space="preserve">Демонтаж муфт 1шт Монтаж муфт 1шт  </v>
      </c>
      <c r="J1706" s="489" t="s">
        <v>365</v>
      </c>
      <c r="K1706" s="450">
        <v>44317</v>
      </c>
      <c r="L1706" s="474">
        <v>44347</v>
      </c>
      <c r="M1706" s="540"/>
      <c r="N1706" s="540"/>
    </row>
    <row r="1707" spans="1:14" hidden="1" outlineLevel="3">
      <c r="A1707" s="475"/>
      <c r="B1707" s="476" t="s">
        <v>298</v>
      </c>
      <c r="C1707" s="473" t="s">
        <v>2126</v>
      </c>
      <c r="D1707" s="490" t="s">
        <v>1830</v>
      </c>
      <c r="E1707" s="385"/>
      <c r="F1707" s="385"/>
      <c r="G1707" s="385"/>
      <c r="H1707" s="401" t="s">
        <v>2209</v>
      </c>
      <c r="I1707" s="402" t="s">
        <v>200</v>
      </c>
      <c r="J1707" s="489"/>
      <c r="K1707" s="450"/>
      <c r="L1707" s="450"/>
      <c r="M1707" s="490" t="s">
        <v>813</v>
      </c>
      <c r="N1707" s="490">
        <v>1</v>
      </c>
    </row>
    <row r="1708" spans="1:14" hidden="1" outlineLevel="3">
      <c r="A1708" s="475"/>
      <c r="B1708" s="476" t="s">
        <v>298</v>
      </c>
      <c r="C1708" s="473" t="s">
        <v>2126</v>
      </c>
      <c r="D1708" s="490" t="s">
        <v>1830</v>
      </c>
      <c r="E1708" s="385"/>
      <c r="F1708" s="385"/>
      <c r="G1708" s="385"/>
      <c r="H1708" s="401"/>
      <c r="I1708" s="402" t="s">
        <v>198</v>
      </c>
      <c r="J1708" s="489"/>
      <c r="K1708" s="450"/>
      <c r="L1708" s="450"/>
      <c r="M1708" s="490" t="s">
        <v>813</v>
      </c>
      <c r="N1708" s="490">
        <v>1</v>
      </c>
    </row>
    <row r="1709" spans="1:14" s="384" customFormat="1" ht="83.25" hidden="1" customHeight="1" outlineLevel="2" collapsed="1">
      <c r="A1709" s="412" t="s">
        <v>1302</v>
      </c>
      <c r="B1709" s="452" t="s">
        <v>298</v>
      </c>
      <c r="C1709" s="452" t="s">
        <v>49</v>
      </c>
      <c r="D1709" s="398" t="s">
        <v>1830</v>
      </c>
      <c r="E1709" s="385" t="s">
        <v>2284</v>
      </c>
      <c r="F1709" s="385" t="s">
        <v>303</v>
      </c>
      <c r="G1709" s="385"/>
      <c r="H1709" s="401" t="s">
        <v>2285</v>
      </c>
      <c r="I1709" s="385" t="str">
        <f>CONCATENATE(I1710," ",N1710,M1710," ",I1711," ",N1711,M1711," "," ",I1712," ",N1712,M1712," "," ",I1713," ",N1713,M1713)</f>
        <v>Замена опор 1шт. Демонтаж муфт 2шт.  Монтаж муфт 3шт.  закрытие кабеля кожухом 6м.</v>
      </c>
      <c r="J1709" s="489" t="s">
        <v>365</v>
      </c>
      <c r="K1709" s="450">
        <v>44348</v>
      </c>
      <c r="L1709" s="474">
        <v>44377</v>
      </c>
      <c r="M1709" s="540"/>
      <c r="N1709" s="540"/>
    </row>
    <row r="1710" spans="1:14" hidden="1" outlineLevel="3">
      <c r="A1710" s="475"/>
      <c r="B1710" s="476" t="s">
        <v>298</v>
      </c>
      <c r="C1710" s="473" t="s">
        <v>49</v>
      </c>
      <c r="D1710" s="490" t="s">
        <v>1830</v>
      </c>
      <c r="E1710" s="385"/>
      <c r="F1710" s="385"/>
      <c r="G1710" s="385"/>
      <c r="H1710" s="401" t="s">
        <v>2147</v>
      </c>
      <c r="I1710" s="385" t="s">
        <v>39</v>
      </c>
      <c r="J1710" s="489" t="s">
        <v>365</v>
      </c>
      <c r="K1710" s="450"/>
      <c r="L1710" s="450"/>
      <c r="M1710" s="490" t="s">
        <v>37</v>
      </c>
      <c r="N1710" s="490">
        <v>1</v>
      </c>
    </row>
    <row r="1711" spans="1:14" hidden="1" outlineLevel="3">
      <c r="A1711" s="475"/>
      <c r="B1711" s="476" t="s">
        <v>298</v>
      </c>
      <c r="C1711" s="473" t="s">
        <v>49</v>
      </c>
      <c r="D1711" s="490" t="s">
        <v>1830</v>
      </c>
      <c r="E1711" s="385"/>
      <c r="F1711" s="385"/>
      <c r="G1711" s="385"/>
      <c r="H1711" s="401"/>
      <c r="I1711" s="385" t="s">
        <v>200</v>
      </c>
      <c r="J1711" s="489" t="s">
        <v>365</v>
      </c>
      <c r="K1711" s="450"/>
      <c r="L1711" s="450"/>
      <c r="M1711" s="490" t="s">
        <v>37</v>
      </c>
      <c r="N1711" s="490">
        <v>2</v>
      </c>
    </row>
    <row r="1712" spans="1:14" ht="40.5" hidden="1" outlineLevel="3">
      <c r="A1712" s="412"/>
      <c r="B1712" s="476" t="s">
        <v>298</v>
      </c>
      <c r="C1712" s="473" t="s">
        <v>49</v>
      </c>
      <c r="D1712" s="490" t="s">
        <v>1830</v>
      </c>
      <c r="E1712" s="385"/>
      <c r="F1712" s="385"/>
      <c r="G1712" s="385"/>
      <c r="H1712" s="401" t="s">
        <v>2286</v>
      </c>
      <c r="I1712" s="385" t="s">
        <v>198</v>
      </c>
      <c r="J1712" s="489" t="s">
        <v>365</v>
      </c>
      <c r="K1712" s="450"/>
      <c r="L1712" s="450"/>
      <c r="M1712" s="490" t="s">
        <v>37</v>
      </c>
      <c r="N1712" s="490">
        <v>3</v>
      </c>
    </row>
    <row r="1713" spans="1:14" hidden="1" outlineLevel="3">
      <c r="A1713" s="412"/>
      <c r="B1713" s="476" t="s">
        <v>298</v>
      </c>
      <c r="C1713" s="473" t="s">
        <v>49</v>
      </c>
      <c r="D1713" s="490" t="s">
        <v>1830</v>
      </c>
      <c r="E1713" s="385"/>
      <c r="F1713" s="385"/>
      <c r="G1713" s="385"/>
      <c r="H1713" s="401"/>
      <c r="I1713" s="385" t="s">
        <v>2287</v>
      </c>
      <c r="J1713" s="489" t="s">
        <v>365</v>
      </c>
      <c r="K1713" s="450"/>
      <c r="L1713" s="450"/>
      <c r="M1713" s="490" t="s">
        <v>2288</v>
      </c>
      <c r="N1713" s="403">
        <v>6</v>
      </c>
    </row>
    <row r="1714" spans="1:14" s="384" customFormat="1" ht="40.5" hidden="1" outlineLevel="2" collapsed="1">
      <c r="A1714" s="412" t="s">
        <v>1303</v>
      </c>
      <c r="B1714" s="452" t="s">
        <v>298</v>
      </c>
      <c r="C1714" s="452" t="s">
        <v>49</v>
      </c>
      <c r="D1714" s="398" t="s">
        <v>1830</v>
      </c>
      <c r="E1714" s="385" t="s">
        <v>2289</v>
      </c>
      <c r="F1714" s="385" t="s">
        <v>303</v>
      </c>
      <c r="G1714" s="385"/>
      <c r="H1714" s="401" t="s">
        <v>2290</v>
      </c>
      <c r="I1714" s="385" t="str">
        <f>CONCATENATE(I1715," ",N1715,M1715," ",I1716," ",N1716,M1716)</f>
        <v>Демонтаж муфт 2шт Монтаж муфт 2шт</v>
      </c>
      <c r="J1714" s="489" t="s">
        <v>365</v>
      </c>
      <c r="K1714" s="450">
        <v>44317</v>
      </c>
      <c r="L1714" s="474">
        <v>44347</v>
      </c>
      <c r="M1714" s="540"/>
      <c r="N1714" s="540"/>
    </row>
    <row r="1715" spans="1:14" hidden="1" outlineLevel="3">
      <c r="A1715" s="475"/>
      <c r="B1715" s="476" t="s">
        <v>298</v>
      </c>
      <c r="C1715" s="473" t="s">
        <v>49</v>
      </c>
      <c r="D1715" s="490" t="s">
        <v>1830</v>
      </c>
      <c r="E1715" s="385"/>
      <c r="F1715" s="385"/>
      <c r="G1715" s="385"/>
      <c r="H1715" s="401"/>
      <c r="I1715" s="385" t="s">
        <v>200</v>
      </c>
      <c r="J1715" s="489" t="s">
        <v>365</v>
      </c>
      <c r="K1715" s="450"/>
      <c r="L1715" s="450"/>
      <c r="M1715" s="490" t="s">
        <v>813</v>
      </c>
      <c r="N1715" s="490">
        <v>2</v>
      </c>
    </row>
    <row r="1716" spans="1:14" hidden="1" outlineLevel="3">
      <c r="A1716" s="475"/>
      <c r="B1716" s="476" t="s">
        <v>298</v>
      </c>
      <c r="C1716" s="473" t="s">
        <v>49</v>
      </c>
      <c r="D1716" s="490" t="s">
        <v>1830</v>
      </c>
      <c r="E1716" s="385"/>
      <c r="F1716" s="385"/>
      <c r="G1716" s="385"/>
      <c r="H1716" s="401" t="s">
        <v>2291</v>
      </c>
      <c r="I1716" s="385" t="s">
        <v>198</v>
      </c>
      <c r="J1716" s="489" t="s">
        <v>365</v>
      </c>
      <c r="K1716" s="450"/>
      <c r="L1716" s="450"/>
      <c r="M1716" s="490" t="s">
        <v>813</v>
      </c>
      <c r="N1716" s="490">
        <v>2</v>
      </c>
    </row>
    <row r="1717" spans="1:14" s="384" customFormat="1" ht="40.5" hidden="1" outlineLevel="2" collapsed="1">
      <c r="A1717" s="412" t="s">
        <v>1681</v>
      </c>
      <c r="B1717" s="452" t="s">
        <v>298</v>
      </c>
      <c r="C1717" s="452" t="s">
        <v>49</v>
      </c>
      <c r="D1717" s="398" t="s">
        <v>1830</v>
      </c>
      <c r="E1717" s="385" t="s">
        <v>2292</v>
      </c>
      <c r="F1717" s="385" t="s">
        <v>303</v>
      </c>
      <c r="G1717" s="385"/>
      <c r="H1717" s="401" t="s">
        <v>2293</v>
      </c>
      <c r="I1717" s="385" t="str">
        <f>CONCATENATE(I1718," ",N1718,M1718," ",I1719," ",N1719,M1719)</f>
        <v>Демонтаж муфт 2шт Монтаж муфт 2шт</v>
      </c>
      <c r="J1717" s="489" t="s">
        <v>365</v>
      </c>
      <c r="K1717" s="450">
        <v>44317</v>
      </c>
      <c r="L1717" s="474">
        <v>44347</v>
      </c>
      <c r="M1717" s="540"/>
      <c r="N1717" s="540"/>
    </row>
    <row r="1718" spans="1:14" hidden="1" outlineLevel="3">
      <c r="A1718" s="475"/>
      <c r="B1718" s="476" t="s">
        <v>298</v>
      </c>
      <c r="C1718" s="473" t="s">
        <v>49</v>
      </c>
      <c r="D1718" s="490" t="s">
        <v>1830</v>
      </c>
      <c r="E1718" s="385"/>
      <c r="F1718" s="385"/>
      <c r="G1718" s="385"/>
      <c r="H1718" s="401"/>
      <c r="I1718" s="385" t="s">
        <v>200</v>
      </c>
      <c r="J1718" s="489" t="s">
        <v>365</v>
      </c>
      <c r="K1718" s="450"/>
      <c r="L1718" s="450"/>
      <c r="M1718" s="490" t="s">
        <v>813</v>
      </c>
      <c r="N1718" s="490">
        <v>2</v>
      </c>
    </row>
    <row r="1719" spans="1:14" hidden="1" outlineLevel="3">
      <c r="A1719" s="475"/>
      <c r="B1719" s="476" t="s">
        <v>298</v>
      </c>
      <c r="C1719" s="473" t="s">
        <v>49</v>
      </c>
      <c r="D1719" s="490" t="s">
        <v>1830</v>
      </c>
      <c r="E1719" s="385"/>
      <c r="F1719" s="385"/>
      <c r="G1719" s="385"/>
      <c r="H1719" s="401" t="s">
        <v>2294</v>
      </c>
      <c r="I1719" s="385" t="s">
        <v>198</v>
      </c>
      <c r="J1719" s="489" t="s">
        <v>365</v>
      </c>
      <c r="K1719" s="450"/>
      <c r="L1719" s="450"/>
      <c r="M1719" s="490" t="s">
        <v>813</v>
      </c>
      <c r="N1719" s="490">
        <v>2</v>
      </c>
    </row>
    <row r="1720" spans="1:14" s="384" customFormat="1" ht="40.5" hidden="1" outlineLevel="2" collapsed="1">
      <c r="A1720" s="412" t="s">
        <v>1304</v>
      </c>
      <c r="B1720" s="452" t="s">
        <v>298</v>
      </c>
      <c r="C1720" s="452" t="s">
        <v>49</v>
      </c>
      <c r="D1720" s="398" t="s">
        <v>1830</v>
      </c>
      <c r="E1720" s="385" t="s">
        <v>2295</v>
      </c>
      <c r="F1720" s="385" t="s">
        <v>303</v>
      </c>
      <c r="G1720" s="385"/>
      <c r="H1720" s="401" t="s">
        <v>2296</v>
      </c>
      <c r="I1720" s="385" t="str">
        <f>CONCATENATE(I1721," ",N1721,M1721," ",I1722," ",N1722,M1722)</f>
        <v>Демонтаж муфт 2шт Монтаж муфт 2шт</v>
      </c>
      <c r="J1720" s="489" t="s">
        <v>365</v>
      </c>
      <c r="K1720" s="450">
        <v>44287</v>
      </c>
      <c r="L1720" s="474">
        <v>44316</v>
      </c>
      <c r="M1720" s="540"/>
      <c r="N1720" s="540"/>
    </row>
    <row r="1721" spans="1:14" hidden="1" outlineLevel="3">
      <c r="A1721" s="475"/>
      <c r="B1721" s="476" t="s">
        <v>298</v>
      </c>
      <c r="C1721" s="473" t="s">
        <v>49</v>
      </c>
      <c r="D1721" s="490" t="s">
        <v>1830</v>
      </c>
      <c r="E1721" s="385"/>
      <c r="F1721" s="385"/>
      <c r="G1721" s="385"/>
      <c r="H1721" s="401"/>
      <c r="I1721" s="385" t="s">
        <v>200</v>
      </c>
      <c r="J1721" s="489" t="s">
        <v>365</v>
      </c>
      <c r="K1721" s="450"/>
      <c r="L1721" s="450"/>
      <c r="M1721" s="490" t="s">
        <v>813</v>
      </c>
      <c r="N1721" s="490">
        <v>2</v>
      </c>
    </row>
    <row r="1722" spans="1:14" hidden="1" outlineLevel="3">
      <c r="A1722" s="475"/>
      <c r="B1722" s="476" t="s">
        <v>298</v>
      </c>
      <c r="C1722" s="473" t="s">
        <v>49</v>
      </c>
      <c r="D1722" s="490" t="s">
        <v>1830</v>
      </c>
      <c r="E1722" s="385"/>
      <c r="F1722" s="385"/>
      <c r="G1722" s="385"/>
      <c r="H1722" s="401" t="s">
        <v>2294</v>
      </c>
      <c r="I1722" s="385" t="s">
        <v>198</v>
      </c>
      <c r="J1722" s="489" t="s">
        <v>365</v>
      </c>
      <c r="K1722" s="450"/>
      <c r="L1722" s="450"/>
      <c r="M1722" s="490" t="s">
        <v>813</v>
      </c>
      <c r="N1722" s="490">
        <v>2</v>
      </c>
    </row>
    <row r="1723" spans="1:14" s="384" customFormat="1" ht="40.5" hidden="1" outlineLevel="2" collapsed="1">
      <c r="A1723" s="412" t="s">
        <v>3336</v>
      </c>
      <c r="B1723" s="452" t="s">
        <v>298</v>
      </c>
      <c r="C1723" s="452" t="s">
        <v>49</v>
      </c>
      <c r="D1723" s="398" t="s">
        <v>1830</v>
      </c>
      <c r="E1723" s="385" t="s">
        <v>2297</v>
      </c>
      <c r="F1723" s="385" t="s">
        <v>303</v>
      </c>
      <c r="G1723" s="385"/>
      <c r="H1723" s="401" t="s">
        <v>2298</v>
      </c>
      <c r="I1723" s="385" t="str">
        <f>CONCATENATE(I1724," ",N1724,M1724," ",I1725," ",N1725,M1725)</f>
        <v>Демонтаж муфт 3шт Монтаж муфт 3шт</v>
      </c>
      <c r="J1723" s="489" t="s">
        <v>365</v>
      </c>
      <c r="K1723" s="450">
        <v>44287</v>
      </c>
      <c r="L1723" s="474">
        <v>44316</v>
      </c>
      <c r="M1723" s="540"/>
      <c r="N1723" s="540"/>
    </row>
    <row r="1724" spans="1:14" hidden="1" outlineLevel="3">
      <c r="A1724" s="475"/>
      <c r="B1724" s="476" t="s">
        <v>298</v>
      </c>
      <c r="C1724" s="473" t="s">
        <v>49</v>
      </c>
      <c r="D1724" s="490" t="s">
        <v>1830</v>
      </c>
      <c r="E1724" s="385"/>
      <c r="F1724" s="385"/>
      <c r="G1724" s="385"/>
      <c r="H1724" s="401"/>
      <c r="I1724" s="385" t="s">
        <v>200</v>
      </c>
      <c r="J1724" s="489" t="s">
        <v>365</v>
      </c>
      <c r="K1724" s="450"/>
      <c r="L1724" s="450"/>
      <c r="M1724" s="490" t="s">
        <v>813</v>
      </c>
      <c r="N1724" s="490">
        <v>3</v>
      </c>
    </row>
    <row r="1725" spans="1:14" hidden="1" outlineLevel="3">
      <c r="A1725" s="475"/>
      <c r="B1725" s="476" t="s">
        <v>298</v>
      </c>
      <c r="C1725" s="473" t="s">
        <v>49</v>
      </c>
      <c r="D1725" s="490" t="s">
        <v>1830</v>
      </c>
      <c r="E1725" s="385"/>
      <c r="F1725" s="385"/>
      <c r="G1725" s="385"/>
      <c r="H1725" s="401" t="s">
        <v>2299</v>
      </c>
      <c r="I1725" s="385" t="s">
        <v>198</v>
      </c>
      <c r="J1725" s="489" t="s">
        <v>365</v>
      </c>
      <c r="K1725" s="450"/>
      <c r="L1725" s="450"/>
      <c r="M1725" s="490" t="s">
        <v>813</v>
      </c>
      <c r="N1725" s="490">
        <v>3</v>
      </c>
    </row>
    <row r="1726" spans="1:14" s="384" customFormat="1" ht="40.5" hidden="1" outlineLevel="2" collapsed="1">
      <c r="A1726" s="412" t="s">
        <v>3337</v>
      </c>
      <c r="B1726" s="452" t="s">
        <v>298</v>
      </c>
      <c r="C1726" s="452" t="s">
        <v>49</v>
      </c>
      <c r="D1726" s="398" t="s">
        <v>1830</v>
      </c>
      <c r="E1726" s="385" t="s">
        <v>2300</v>
      </c>
      <c r="F1726" s="385" t="s">
        <v>303</v>
      </c>
      <c r="G1726" s="385"/>
      <c r="H1726" s="401" t="s">
        <v>2301</v>
      </c>
      <c r="I1726" s="385" t="str">
        <f>CONCATENATE(I1727," ",N1727,M1727," ",I1728," ",N1728,M1728)</f>
        <v>Демонтаж муфт 2шт Монтаж муфт 2шт</v>
      </c>
      <c r="J1726" s="489" t="s">
        <v>365</v>
      </c>
      <c r="K1726" s="450">
        <v>44287</v>
      </c>
      <c r="L1726" s="474">
        <v>44316</v>
      </c>
      <c r="M1726" s="540"/>
      <c r="N1726" s="540"/>
    </row>
    <row r="1727" spans="1:14" hidden="1" outlineLevel="3">
      <c r="A1727" s="475"/>
      <c r="B1727" s="476" t="s">
        <v>298</v>
      </c>
      <c r="C1727" s="473" t="s">
        <v>49</v>
      </c>
      <c r="D1727" s="490" t="s">
        <v>1830</v>
      </c>
      <c r="E1727" s="385"/>
      <c r="F1727" s="385"/>
      <c r="G1727" s="385"/>
      <c r="H1727" s="401"/>
      <c r="I1727" s="385" t="s">
        <v>200</v>
      </c>
      <c r="J1727" s="489" t="s">
        <v>365</v>
      </c>
      <c r="K1727" s="450"/>
      <c r="L1727" s="450"/>
      <c r="M1727" s="490" t="s">
        <v>813</v>
      </c>
      <c r="N1727" s="490">
        <v>2</v>
      </c>
    </row>
    <row r="1728" spans="1:14" hidden="1" outlineLevel="3">
      <c r="A1728" s="475"/>
      <c r="B1728" s="476" t="s">
        <v>298</v>
      </c>
      <c r="C1728" s="473" t="s">
        <v>49</v>
      </c>
      <c r="D1728" s="490" t="s">
        <v>1830</v>
      </c>
      <c r="E1728" s="385"/>
      <c r="F1728" s="385"/>
      <c r="G1728" s="385"/>
      <c r="H1728" s="401" t="s">
        <v>2294</v>
      </c>
      <c r="I1728" s="385" t="s">
        <v>198</v>
      </c>
      <c r="J1728" s="489" t="s">
        <v>365</v>
      </c>
      <c r="K1728" s="450"/>
      <c r="L1728" s="450"/>
      <c r="M1728" s="490" t="s">
        <v>813</v>
      </c>
      <c r="N1728" s="490">
        <v>2</v>
      </c>
    </row>
    <row r="1729" spans="1:14" s="384" customFormat="1" ht="40.5" hidden="1" outlineLevel="2" collapsed="1">
      <c r="A1729" s="412" t="s">
        <v>3338</v>
      </c>
      <c r="B1729" s="452" t="s">
        <v>298</v>
      </c>
      <c r="C1729" s="452" t="s">
        <v>49</v>
      </c>
      <c r="D1729" s="398" t="s">
        <v>1830</v>
      </c>
      <c r="E1729" s="385" t="s">
        <v>2302</v>
      </c>
      <c r="F1729" s="385" t="s">
        <v>303</v>
      </c>
      <c r="G1729" s="385"/>
      <c r="H1729" s="401" t="s">
        <v>2303</v>
      </c>
      <c r="I1729" s="385" t="str">
        <f>CONCATENATE(I1730," ",N1730,M1730," ",I1731," ",N1731,M1731)</f>
        <v>Демонтаж муфт 2шт Монтаж муфт 2шт</v>
      </c>
      <c r="J1729" s="489" t="s">
        <v>365</v>
      </c>
      <c r="K1729" s="450">
        <v>44287</v>
      </c>
      <c r="L1729" s="474">
        <v>44316</v>
      </c>
      <c r="M1729" s="540"/>
      <c r="N1729" s="540"/>
    </row>
    <row r="1730" spans="1:14" hidden="1" outlineLevel="3">
      <c r="A1730" s="475"/>
      <c r="B1730" s="476" t="s">
        <v>298</v>
      </c>
      <c r="C1730" s="473" t="s">
        <v>49</v>
      </c>
      <c r="D1730" s="490" t="s">
        <v>1830</v>
      </c>
      <c r="E1730" s="385"/>
      <c r="F1730" s="385"/>
      <c r="G1730" s="385"/>
      <c r="H1730" s="401"/>
      <c r="I1730" s="385" t="s">
        <v>200</v>
      </c>
      <c r="J1730" s="489" t="s">
        <v>365</v>
      </c>
      <c r="K1730" s="450"/>
      <c r="L1730" s="450"/>
      <c r="M1730" s="490" t="s">
        <v>813</v>
      </c>
      <c r="N1730" s="490">
        <v>2</v>
      </c>
    </row>
    <row r="1731" spans="1:14" hidden="1" outlineLevel="3">
      <c r="A1731" s="475"/>
      <c r="B1731" s="476" t="s">
        <v>298</v>
      </c>
      <c r="C1731" s="473" t="s">
        <v>49</v>
      </c>
      <c r="D1731" s="490" t="s">
        <v>1830</v>
      </c>
      <c r="E1731" s="385"/>
      <c r="F1731" s="385"/>
      <c r="G1731" s="385"/>
      <c r="H1731" s="401" t="s">
        <v>2294</v>
      </c>
      <c r="I1731" s="385" t="s">
        <v>198</v>
      </c>
      <c r="J1731" s="489" t="s">
        <v>365</v>
      </c>
      <c r="K1731" s="450"/>
      <c r="L1731" s="450"/>
      <c r="M1731" s="490" t="s">
        <v>813</v>
      </c>
      <c r="N1731" s="490">
        <v>2</v>
      </c>
    </row>
    <row r="1732" spans="1:14" s="384" customFormat="1" ht="40.5" hidden="1" outlineLevel="2" collapsed="1">
      <c r="A1732" s="412" t="s">
        <v>3339</v>
      </c>
      <c r="B1732" s="452" t="s">
        <v>298</v>
      </c>
      <c r="C1732" s="452" t="s">
        <v>49</v>
      </c>
      <c r="D1732" s="398" t="s">
        <v>1830</v>
      </c>
      <c r="E1732" s="385" t="s">
        <v>2304</v>
      </c>
      <c r="F1732" s="385" t="s">
        <v>303</v>
      </c>
      <c r="G1732" s="385"/>
      <c r="H1732" s="401" t="s">
        <v>2305</v>
      </c>
      <c r="I1732" s="385" t="str">
        <f>CONCATENATE(I1733," ",N1733,M1733," ",I1734," ",N1734,M1734)</f>
        <v>Демонтаж муфт 1шт Монтаж муфт 1шт</v>
      </c>
      <c r="J1732" s="489" t="s">
        <v>365</v>
      </c>
      <c r="K1732" s="450">
        <v>44317</v>
      </c>
      <c r="L1732" s="474">
        <v>44347</v>
      </c>
      <c r="M1732" s="540"/>
      <c r="N1732" s="540"/>
    </row>
    <row r="1733" spans="1:14" hidden="1" outlineLevel="3">
      <c r="A1733" s="475"/>
      <c r="B1733" s="476" t="s">
        <v>298</v>
      </c>
      <c r="C1733" s="473" t="s">
        <v>49</v>
      </c>
      <c r="D1733" s="490" t="s">
        <v>1830</v>
      </c>
      <c r="E1733" s="385"/>
      <c r="F1733" s="385"/>
      <c r="G1733" s="385"/>
      <c r="H1733" s="401"/>
      <c r="I1733" s="385" t="s">
        <v>200</v>
      </c>
      <c r="J1733" s="489" t="s">
        <v>365</v>
      </c>
      <c r="K1733" s="450"/>
      <c r="L1733" s="450"/>
      <c r="M1733" s="490" t="s">
        <v>813</v>
      </c>
      <c r="N1733" s="490">
        <v>1</v>
      </c>
    </row>
    <row r="1734" spans="1:14" hidden="1" outlineLevel="3">
      <c r="A1734" s="475"/>
      <c r="B1734" s="476" t="s">
        <v>298</v>
      </c>
      <c r="C1734" s="473" t="s">
        <v>49</v>
      </c>
      <c r="D1734" s="490" t="s">
        <v>1830</v>
      </c>
      <c r="E1734" s="385"/>
      <c r="F1734" s="385"/>
      <c r="G1734" s="385"/>
      <c r="H1734" s="401" t="s">
        <v>2294</v>
      </c>
      <c r="I1734" s="385" t="s">
        <v>198</v>
      </c>
      <c r="J1734" s="489" t="s">
        <v>365</v>
      </c>
      <c r="K1734" s="450"/>
      <c r="L1734" s="450"/>
      <c r="M1734" s="490" t="s">
        <v>813</v>
      </c>
      <c r="N1734" s="490">
        <v>1</v>
      </c>
    </row>
    <row r="1735" spans="1:14" hidden="1" outlineLevel="3">
      <c r="A1735" s="412"/>
      <c r="B1735" s="490"/>
      <c r="C1735" s="398"/>
      <c r="D1735" s="398"/>
      <c r="E1735" s="385"/>
      <c r="F1735" s="385"/>
      <c r="G1735" s="385"/>
      <c r="H1735" s="401"/>
      <c r="I1735" s="385"/>
      <c r="J1735" s="489"/>
      <c r="K1735" s="450"/>
      <c r="L1735" s="450"/>
      <c r="M1735" s="490"/>
      <c r="N1735" s="438"/>
    </row>
    <row r="1736" spans="1:14" s="384" customFormat="1" ht="40.5" hidden="1" outlineLevel="2" collapsed="1">
      <c r="A1736" s="412" t="s">
        <v>3340</v>
      </c>
      <c r="B1736" s="452" t="s">
        <v>298</v>
      </c>
      <c r="C1736" s="452" t="s">
        <v>49</v>
      </c>
      <c r="D1736" s="398" t="s">
        <v>1830</v>
      </c>
      <c r="E1736" s="385" t="s">
        <v>2306</v>
      </c>
      <c r="F1736" s="385" t="s">
        <v>303</v>
      </c>
      <c r="G1736" s="385"/>
      <c r="H1736" s="401" t="s">
        <v>2307</v>
      </c>
      <c r="I1736" s="385" t="str">
        <f>CONCATENATE(I1737," ",N1737,M1737," ",I1738," ",N1738,M1738)</f>
        <v>Демонтаж муфт 2шт Монтаж муфт 2шт</v>
      </c>
      <c r="J1736" s="489" t="s">
        <v>365</v>
      </c>
      <c r="K1736" s="450">
        <v>44317</v>
      </c>
      <c r="L1736" s="474">
        <v>44347</v>
      </c>
      <c r="M1736" s="540"/>
      <c r="N1736" s="540"/>
    </row>
    <row r="1737" spans="1:14" hidden="1" outlineLevel="3">
      <c r="A1737" s="475"/>
      <c r="B1737" s="476" t="s">
        <v>298</v>
      </c>
      <c r="C1737" s="473" t="s">
        <v>49</v>
      </c>
      <c r="D1737" s="490" t="s">
        <v>1830</v>
      </c>
      <c r="E1737" s="385"/>
      <c r="F1737" s="385"/>
      <c r="G1737" s="385"/>
      <c r="H1737" s="401"/>
      <c r="I1737" s="385" t="s">
        <v>200</v>
      </c>
      <c r="J1737" s="489" t="s">
        <v>365</v>
      </c>
      <c r="K1737" s="450"/>
      <c r="L1737" s="450"/>
      <c r="M1737" s="490" t="s">
        <v>813</v>
      </c>
      <c r="N1737" s="490">
        <v>2</v>
      </c>
    </row>
    <row r="1738" spans="1:14" hidden="1" outlineLevel="3">
      <c r="A1738" s="475"/>
      <c r="B1738" s="476" t="s">
        <v>298</v>
      </c>
      <c r="C1738" s="473" t="s">
        <v>49</v>
      </c>
      <c r="D1738" s="490" t="s">
        <v>1830</v>
      </c>
      <c r="E1738" s="385"/>
      <c r="F1738" s="385"/>
      <c r="G1738" s="385"/>
      <c r="H1738" s="401" t="s">
        <v>2294</v>
      </c>
      <c r="I1738" s="385" t="s">
        <v>198</v>
      </c>
      <c r="J1738" s="489" t="s">
        <v>365</v>
      </c>
      <c r="K1738" s="450"/>
      <c r="L1738" s="450"/>
      <c r="M1738" s="490" t="s">
        <v>813</v>
      </c>
      <c r="N1738" s="490">
        <v>2</v>
      </c>
    </row>
    <row r="1739" spans="1:14" hidden="1" outlineLevel="3">
      <c r="A1739" s="412"/>
      <c r="B1739" s="490"/>
      <c r="C1739" s="398"/>
      <c r="D1739" s="398"/>
      <c r="E1739" s="385"/>
      <c r="F1739" s="385"/>
      <c r="G1739" s="385"/>
      <c r="H1739" s="401"/>
      <c r="I1739" s="385"/>
      <c r="J1739" s="489"/>
      <c r="K1739" s="450"/>
      <c r="L1739" s="450"/>
      <c r="M1739" s="490"/>
      <c r="N1739" s="438"/>
    </row>
    <row r="1740" spans="1:14" s="384" customFormat="1" ht="40.5" hidden="1" outlineLevel="2" collapsed="1">
      <c r="A1740" s="412" t="s">
        <v>3341</v>
      </c>
      <c r="B1740" s="452" t="s">
        <v>298</v>
      </c>
      <c r="C1740" s="452" t="s">
        <v>49</v>
      </c>
      <c r="D1740" s="398" t="s">
        <v>1830</v>
      </c>
      <c r="E1740" s="385" t="s">
        <v>2308</v>
      </c>
      <c r="F1740" s="385" t="s">
        <v>303</v>
      </c>
      <c r="G1740" s="385"/>
      <c r="H1740" s="401" t="s">
        <v>2309</v>
      </c>
      <c r="I1740" s="385" t="str">
        <f>CONCATENATE(I1741," ",N1741,M1741," ",I1742," ",N1742,M1742)</f>
        <v>Демонтаж муфт 4шт Монтаж муфт 4шт</v>
      </c>
      <c r="J1740" s="489" t="s">
        <v>365</v>
      </c>
      <c r="K1740" s="450">
        <v>44348</v>
      </c>
      <c r="L1740" s="474">
        <v>44377</v>
      </c>
      <c r="M1740" s="540"/>
      <c r="N1740" s="540"/>
    </row>
    <row r="1741" spans="1:14" hidden="1" outlineLevel="3">
      <c r="A1741" s="475"/>
      <c r="B1741" s="476" t="s">
        <v>298</v>
      </c>
      <c r="C1741" s="473" t="s">
        <v>49</v>
      </c>
      <c r="D1741" s="490" t="s">
        <v>1830</v>
      </c>
      <c r="E1741" s="385"/>
      <c r="F1741" s="385"/>
      <c r="G1741" s="385"/>
      <c r="H1741" s="401"/>
      <c r="I1741" s="385" t="s">
        <v>200</v>
      </c>
      <c r="J1741" s="489" t="s">
        <v>365</v>
      </c>
      <c r="K1741" s="450"/>
      <c r="L1741" s="450"/>
      <c r="M1741" s="490" t="s">
        <v>813</v>
      </c>
      <c r="N1741" s="490">
        <v>4</v>
      </c>
    </row>
    <row r="1742" spans="1:14" hidden="1" outlineLevel="3">
      <c r="A1742" s="475"/>
      <c r="B1742" s="476" t="s">
        <v>298</v>
      </c>
      <c r="C1742" s="473" t="s">
        <v>49</v>
      </c>
      <c r="D1742" s="490" t="s">
        <v>1830</v>
      </c>
      <c r="E1742" s="385"/>
      <c r="F1742" s="385"/>
      <c r="G1742" s="385"/>
      <c r="H1742" s="401" t="s">
        <v>2294</v>
      </c>
      <c r="I1742" s="385" t="s">
        <v>198</v>
      </c>
      <c r="J1742" s="489" t="s">
        <v>365</v>
      </c>
      <c r="K1742" s="450"/>
      <c r="L1742" s="450"/>
      <c r="M1742" s="490" t="s">
        <v>813</v>
      </c>
      <c r="N1742" s="490">
        <v>4</v>
      </c>
    </row>
    <row r="1743" spans="1:14" hidden="1" outlineLevel="3">
      <c r="A1743" s="412"/>
      <c r="B1743" s="490"/>
      <c r="C1743" s="398"/>
      <c r="D1743" s="398"/>
      <c r="E1743" s="385"/>
      <c r="F1743" s="385"/>
      <c r="G1743" s="385"/>
      <c r="H1743" s="401"/>
      <c r="I1743" s="385"/>
      <c r="J1743" s="489"/>
      <c r="K1743" s="450"/>
      <c r="L1743" s="450"/>
      <c r="M1743" s="490"/>
      <c r="N1743" s="438"/>
    </row>
    <row r="1744" spans="1:14" s="384" customFormat="1" ht="60.75" hidden="1" outlineLevel="2" collapsed="1">
      <c r="A1744" s="476" t="s">
        <v>3342</v>
      </c>
      <c r="B1744" s="452" t="s">
        <v>298</v>
      </c>
      <c r="C1744" s="452" t="s">
        <v>49</v>
      </c>
      <c r="D1744" s="398" t="s">
        <v>1830</v>
      </c>
      <c r="E1744" s="385" t="s">
        <v>2310</v>
      </c>
      <c r="F1744" s="385" t="s">
        <v>303</v>
      </c>
      <c r="G1744" s="385"/>
      <c r="H1744" s="401" t="s">
        <v>2311</v>
      </c>
      <c r="I1744" s="385" t="str">
        <f>CONCATENATE(I1745," ",N1745,M1745," ",I1746," ",N1746,M1746)</f>
        <v>Демонтаж муфт 2шт Монтаж муфт 2шт</v>
      </c>
      <c r="J1744" s="489" t="s">
        <v>365</v>
      </c>
      <c r="K1744" s="450">
        <v>44348</v>
      </c>
      <c r="L1744" s="474">
        <v>44377</v>
      </c>
      <c r="M1744" s="540"/>
      <c r="N1744" s="540"/>
    </row>
    <row r="1745" spans="1:14" hidden="1" outlineLevel="3">
      <c r="A1745" s="476"/>
      <c r="B1745" s="476" t="s">
        <v>298</v>
      </c>
      <c r="C1745" s="473" t="s">
        <v>49</v>
      </c>
      <c r="D1745" s="490" t="s">
        <v>1830</v>
      </c>
      <c r="E1745" s="385"/>
      <c r="F1745" s="385"/>
      <c r="G1745" s="385"/>
      <c r="H1745" s="401"/>
      <c r="I1745" s="385" t="s">
        <v>200</v>
      </c>
      <c r="J1745" s="489" t="s">
        <v>365</v>
      </c>
      <c r="K1745" s="450"/>
      <c r="L1745" s="450"/>
      <c r="M1745" s="490" t="s">
        <v>813</v>
      </c>
      <c r="N1745" s="490">
        <v>2</v>
      </c>
    </row>
    <row r="1746" spans="1:14" hidden="1" outlineLevel="3">
      <c r="A1746" s="476"/>
      <c r="B1746" s="476" t="s">
        <v>298</v>
      </c>
      <c r="C1746" s="473" t="s">
        <v>49</v>
      </c>
      <c r="D1746" s="490" t="s">
        <v>1830</v>
      </c>
      <c r="E1746" s="385"/>
      <c r="F1746" s="385"/>
      <c r="G1746" s="385"/>
      <c r="H1746" s="401" t="s">
        <v>2312</v>
      </c>
      <c r="I1746" s="385" t="s">
        <v>198</v>
      </c>
      <c r="J1746" s="489" t="s">
        <v>365</v>
      </c>
      <c r="K1746" s="450"/>
      <c r="L1746" s="450"/>
      <c r="M1746" s="490" t="s">
        <v>813</v>
      </c>
      <c r="N1746" s="490">
        <v>2</v>
      </c>
    </row>
    <row r="1747" spans="1:14" hidden="1" outlineLevel="3">
      <c r="A1747" s="476"/>
      <c r="B1747" s="490"/>
      <c r="C1747" s="398"/>
      <c r="D1747" s="398"/>
      <c r="E1747" s="385"/>
      <c r="F1747" s="385"/>
      <c r="G1747" s="385"/>
      <c r="H1747" s="401"/>
      <c r="I1747" s="385"/>
      <c r="J1747" s="489"/>
      <c r="K1747" s="450"/>
      <c r="L1747" s="450"/>
      <c r="M1747" s="490"/>
      <c r="N1747" s="438"/>
    </row>
    <row r="1748" spans="1:14" s="384" customFormat="1" ht="60.75" hidden="1" outlineLevel="2" collapsed="1">
      <c r="A1748" s="454" t="s">
        <v>3343</v>
      </c>
      <c r="B1748" s="452" t="s">
        <v>298</v>
      </c>
      <c r="C1748" s="452" t="s">
        <v>49</v>
      </c>
      <c r="D1748" s="398" t="s">
        <v>1830</v>
      </c>
      <c r="E1748" s="385" t="s">
        <v>2313</v>
      </c>
      <c r="F1748" s="385" t="s">
        <v>303</v>
      </c>
      <c r="G1748" s="385"/>
      <c r="H1748" s="401" t="s">
        <v>2314</v>
      </c>
      <c r="I1748" s="385" t="str">
        <f>CONCATENATE(I1749," ",N1749,M1749," ",I1750," ",N1750,M1750)</f>
        <v>Демонтаж муфт 1шт Монтаж муфт 1шт</v>
      </c>
      <c r="J1748" s="489" t="s">
        <v>365</v>
      </c>
      <c r="K1748" s="450">
        <v>44348</v>
      </c>
      <c r="L1748" s="474">
        <v>44377</v>
      </c>
      <c r="M1748" s="540"/>
      <c r="N1748" s="540"/>
    </row>
    <row r="1749" spans="1:14" hidden="1" outlineLevel="3">
      <c r="A1749" s="476"/>
      <c r="B1749" s="476" t="s">
        <v>298</v>
      </c>
      <c r="C1749" s="473" t="s">
        <v>49</v>
      </c>
      <c r="D1749" s="490" t="s">
        <v>1830</v>
      </c>
      <c r="E1749" s="385"/>
      <c r="F1749" s="385"/>
      <c r="G1749" s="385"/>
      <c r="H1749" s="401"/>
      <c r="I1749" s="385" t="s">
        <v>200</v>
      </c>
      <c r="J1749" s="489" t="s">
        <v>365</v>
      </c>
      <c r="K1749" s="450"/>
      <c r="L1749" s="450"/>
      <c r="M1749" s="490" t="s">
        <v>813</v>
      </c>
      <c r="N1749" s="490">
        <v>1</v>
      </c>
    </row>
    <row r="1750" spans="1:14" hidden="1" outlineLevel="3">
      <c r="A1750" s="476"/>
      <c r="B1750" s="476" t="s">
        <v>298</v>
      </c>
      <c r="C1750" s="473" t="s">
        <v>49</v>
      </c>
      <c r="D1750" s="490" t="s">
        <v>1830</v>
      </c>
      <c r="E1750" s="385"/>
      <c r="F1750" s="385"/>
      <c r="G1750" s="385"/>
      <c r="H1750" s="401" t="s">
        <v>2299</v>
      </c>
      <c r="I1750" s="385" t="s">
        <v>198</v>
      </c>
      <c r="J1750" s="489" t="s">
        <v>365</v>
      </c>
      <c r="K1750" s="450"/>
      <c r="L1750" s="450"/>
      <c r="M1750" s="490" t="s">
        <v>813</v>
      </c>
      <c r="N1750" s="490">
        <v>1</v>
      </c>
    </row>
    <row r="1751" spans="1:14" s="384" customFormat="1" ht="90" hidden="1" customHeight="1" outlineLevel="2" collapsed="1">
      <c r="A1751" s="476" t="s">
        <v>1754</v>
      </c>
      <c r="B1751" s="452" t="s">
        <v>298</v>
      </c>
      <c r="C1751" s="452" t="s">
        <v>49</v>
      </c>
      <c r="D1751" s="398" t="s">
        <v>1830</v>
      </c>
      <c r="E1751" s="385" t="s">
        <v>2277</v>
      </c>
      <c r="F1751" s="385" t="s">
        <v>2278</v>
      </c>
      <c r="G1751" s="385"/>
      <c r="H1751" s="401" t="s">
        <v>2279</v>
      </c>
      <c r="I1751" s="385" t="s">
        <v>3512</v>
      </c>
      <c r="J1751" s="489" t="s">
        <v>365</v>
      </c>
      <c r="K1751" s="450">
        <v>44348</v>
      </c>
      <c r="L1751" s="474">
        <v>44377</v>
      </c>
      <c r="M1751" s="540"/>
      <c r="N1751" s="540"/>
    </row>
    <row r="1752" spans="1:14" ht="42.75" hidden="1" customHeight="1" outlineLevel="3">
      <c r="A1752" s="475"/>
      <c r="B1752" s="476" t="s">
        <v>298</v>
      </c>
      <c r="C1752" s="473" t="s">
        <v>49</v>
      </c>
      <c r="D1752" s="490" t="s">
        <v>1830</v>
      </c>
      <c r="E1752" s="385"/>
      <c r="F1752" s="385"/>
      <c r="G1752" s="385"/>
      <c r="H1752" s="401" t="s">
        <v>2280</v>
      </c>
      <c r="I1752" s="385" t="s">
        <v>2281</v>
      </c>
      <c r="J1752" s="489" t="s">
        <v>365</v>
      </c>
      <c r="K1752" s="450"/>
      <c r="L1752" s="450"/>
      <c r="M1752" s="490" t="s">
        <v>43</v>
      </c>
      <c r="N1752" s="490">
        <v>0.04</v>
      </c>
    </row>
    <row r="1753" spans="1:14" hidden="1" outlineLevel="3">
      <c r="A1753" s="475"/>
      <c r="B1753" s="476" t="s">
        <v>298</v>
      </c>
      <c r="C1753" s="473" t="s">
        <v>49</v>
      </c>
      <c r="D1753" s="490" t="s">
        <v>1830</v>
      </c>
      <c r="E1753" s="385"/>
      <c r="F1753" s="385"/>
      <c r="G1753" s="385"/>
      <c r="H1753" s="401"/>
      <c r="I1753" s="385" t="s">
        <v>195</v>
      </c>
      <c r="J1753" s="489" t="s">
        <v>365</v>
      </c>
      <c r="K1753" s="450"/>
      <c r="L1753" s="450"/>
      <c r="M1753" s="490" t="s">
        <v>43</v>
      </c>
      <c r="N1753" s="490">
        <v>0.12</v>
      </c>
    </row>
    <row r="1754" spans="1:14" ht="40.5" hidden="1" outlineLevel="3">
      <c r="A1754" s="412"/>
      <c r="B1754" s="476" t="s">
        <v>298</v>
      </c>
      <c r="C1754" s="473" t="s">
        <v>49</v>
      </c>
      <c r="D1754" s="490" t="s">
        <v>1830</v>
      </c>
      <c r="E1754" s="385"/>
      <c r="F1754" s="385"/>
      <c r="G1754" s="385"/>
      <c r="H1754" s="401" t="s">
        <v>2282</v>
      </c>
      <c r="I1754" s="385" t="s">
        <v>193</v>
      </c>
      <c r="J1754" s="489" t="s">
        <v>365</v>
      </c>
      <c r="K1754" s="450"/>
      <c r="L1754" s="450"/>
      <c r="M1754" s="490" t="s">
        <v>43</v>
      </c>
      <c r="N1754" s="490">
        <v>0.15</v>
      </c>
    </row>
    <row r="1755" spans="1:14" ht="30.75" hidden="1" customHeight="1" outlineLevel="3">
      <c r="A1755" s="412"/>
      <c r="B1755" s="476" t="s">
        <v>298</v>
      </c>
      <c r="C1755" s="473" t="s">
        <v>49</v>
      </c>
      <c r="D1755" s="490" t="s">
        <v>1830</v>
      </c>
      <c r="E1755" s="385"/>
      <c r="F1755" s="385"/>
      <c r="G1755" s="385"/>
      <c r="H1755" s="401" t="s">
        <v>2283</v>
      </c>
      <c r="I1755" s="385" t="s">
        <v>198</v>
      </c>
      <c r="J1755" s="489" t="s">
        <v>365</v>
      </c>
      <c r="K1755" s="450"/>
      <c r="L1755" s="450"/>
      <c r="M1755" s="490" t="s">
        <v>37</v>
      </c>
      <c r="N1755" s="403">
        <v>6</v>
      </c>
    </row>
    <row r="1756" spans="1:14" s="384" customFormat="1" ht="40.5" hidden="1" outlineLevel="2" collapsed="1">
      <c r="A1756" s="489" t="s">
        <v>3344</v>
      </c>
      <c r="B1756" s="452" t="s">
        <v>298</v>
      </c>
      <c r="C1756" s="452" t="s">
        <v>2315</v>
      </c>
      <c r="D1756" s="398" t="s">
        <v>1830</v>
      </c>
      <c r="E1756" s="490" t="s">
        <v>2344</v>
      </c>
      <c r="F1756" s="385" t="s">
        <v>303</v>
      </c>
      <c r="G1756" s="385"/>
      <c r="H1756" s="401" t="s">
        <v>2345</v>
      </c>
      <c r="I1756" s="385" t="str">
        <f>CONCATENATE(I1757," ",N1757,M1757," ",I1758," ",N1758,M1758)</f>
        <v>Монтаж кабеля 0,012км. Монтаж муфт 5шт.</v>
      </c>
      <c r="J1756" s="489" t="s">
        <v>365</v>
      </c>
      <c r="K1756" s="450">
        <v>44348</v>
      </c>
      <c r="L1756" s="450">
        <v>44377</v>
      </c>
      <c r="M1756" s="540"/>
      <c r="N1756" s="540"/>
    </row>
    <row r="1757" spans="1:14" ht="43.5" hidden="1" customHeight="1" outlineLevel="3">
      <c r="A1757" s="438"/>
      <c r="B1757" s="457" t="s">
        <v>298</v>
      </c>
      <c r="C1757" s="457" t="s">
        <v>2315</v>
      </c>
      <c r="D1757" s="490" t="s">
        <v>1830</v>
      </c>
      <c r="E1757" s="385"/>
      <c r="F1757" s="385"/>
      <c r="G1757" s="385" t="s">
        <v>2336</v>
      </c>
      <c r="H1757" s="401" t="s">
        <v>2346</v>
      </c>
      <c r="I1757" s="385" t="s">
        <v>193</v>
      </c>
      <c r="J1757" s="489"/>
      <c r="K1757" s="450"/>
      <c r="L1757" s="450"/>
      <c r="M1757" s="490" t="s">
        <v>43</v>
      </c>
      <c r="N1757" s="490">
        <v>1.2E-2</v>
      </c>
    </row>
    <row r="1758" spans="1:14" ht="43.5" hidden="1" customHeight="1" outlineLevel="3">
      <c r="A1758" s="450"/>
      <c r="B1758" s="457" t="s">
        <v>298</v>
      </c>
      <c r="C1758" s="457" t="s">
        <v>2315</v>
      </c>
      <c r="D1758" s="490" t="s">
        <v>1830</v>
      </c>
      <c r="E1758" s="385"/>
      <c r="F1758" s="385"/>
      <c r="G1758" s="385" t="s">
        <v>2336</v>
      </c>
      <c r="H1758" s="401" t="s">
        <v>2347</v>
      </c>
      <c r="I1758" s="385" t="s">
        <v>198</v>
      </c>
      <c r="J1758" s="489"/>
      <c r="K1758" s="450"/>
      <c r="L1758" s="450"/>
      <c r="M1758" s="490" t="s">
        <v>37</v>
      </c>
      <c r="N1758" s="490">
        <v>5</v>
      </c>
    </row>
    <row r="1759" spans="1:14" s="384" customFormat="1" ht="90" hidden="1" customHeight="1" outlineLevel="2" collapsed="1">
      <c r="A1759" s="489" t="s">
        <v>3345</v>
      </c>
      <c r="B1759" s="452" t="s">
        <v>298</v>
      </c>
      <c r="C1759" s="452" t="s">
        <v>2315</v>
      </c>
      <c r="D1759" s="398" t="s">
        <v>1830</v>
      </c>
      <c r="E1759" s="490" t="s">
        <v>2348</v>
      </c>
      <c r="F1759" s="385" t="s">
        <v>303</v>
      </c>
      <c r="G1759" s="385"/>
      <c r="H1759" s="401" t="s">
        <v>2349</v>
      </c>
      <c r="I1759" s="385" t="str">
        <f>CONCATENATE(I1760," ",N1760,M1760," ",I1761," ",N1761,M1761)</f>
        <v>Монтаж кабеля 0,012км. Монтаж муфт 5шт.</v>
      </c>
      <c r="J1759" s="489" t="s">
        <v>365</v>
      </c>
      <c r="K1759" s="450">
        <v>44378</v>
      </c>
      <c r="L1759" s="450">
        <v>44408</v>
      </c>
      <c r="M1759" s="540"/>
      <c r="N1759" s="540"/>
    </row>
    <row r="1760" spans="1:14" ht="30" hidden="1" customHeight="1" outlineLevel="3">
      <c r="A1760" s="438"/>
      <c r="B1760" s="457" t="s">
        <v>298</v>
      </c>
      <c r="C1760" s="457" t="s">
        <v>2315</v>
      </c>
      <c r="D1760" s="490" t="s">
        <v>1830</v>
      </c>
      <c r="E1760" s="385"/>
      <c r="F1760" s="385"/>
      <c r="G1760" s="385" t="s">
        <v>2336</v>
      </c>
      <c r="H1760" s="401" t="s">
        <v>2346</v>
      </c>
      <c r="I1760" s="385" t="s">
        <v>193</v>
      </c>
      <c r="J1760" s="489"/>
      <c r="K1760" s="450"/>
      <c r="L1760" s="450"/>
      <c r="M1760" s="490" t="s">
        <v>43</v>
      </c>
      <c r="N1760" s="490">
        <v>1.2E-2</v>
      </c>
    </row>
    <row r="1761" spans="1:14" ht="30" hidden="1" customHeight="1" outlineLevel="3">
      <c r="A1761" s="450"/>
      <c r="B1761" s="457" t="s">
        <v>298</v>
      </c>
      <c r="C1761" s="457" t="s">
        <v>2315</v>
      </c>
      <c r="D1761" s="490" t="s">
        <v>1830</v>
      </c>
      <c r="E1761" s="385"/>
      <c r="F1761" s="385"/>
      <c r="G1761" s="385" t="s">
        <v>2336</v>
      </c>
      <c r="H1761" s="401" t="s">
        <v>2347</v>
      </c>
      <c r="I1761" s="385" t="s">
        <v>198</v>
      </c>
      <c r="J1761" s="489"/>
      <c r="K1761" s="450"/>
      <c r="L1761" s="450"/>
      <c r="M1761" s="490" t="s">
        <v>37</v>
      </c>
      <c r="N1761" s="490">
        <v>5</v>
      </c>
    </row>
    <row r="1762" spans="1:14" s="384" customFormat="1" ht="40.5" hidden="1" outlineLevel="2" collapsed="1">
      <c r="A1762" s="489" t="s">
        <v>3346</v>
      </c>
      <c r="B1762" s="452" t="s">
        <v>298</v>
      </c>
      <c r="C1762" s="452" t="s">
        <v>2315</v>
      </c>
      <c r="D1762" s="398" t="s">
        <v>1830</v>
      </c>
      <c r="E1762" s="490" t="s">
        <v>2350</v>
      </c>
      <c r="F1762" s="385" t="s">
        <v>303</v>
      </c>
      <c r="G1762" s="385"/>
      <c r="H1762" s="401" t="s">
        <v>2351</v>
      </c>
      <c r="I1762" s="385" t="str">
        <f>CONCATENATE(I1763," ",N1763,M1763," ",I1764," ",N1764,M1764)</f>
        <v>Монтаж кабеля 0,006км. Монтаж муфт 2шт.</v>
      </c>
      <c r="J1762" s="489" t="s">
        <v>365</v>
      </c>
      <c r="K1762" s="450">
        <v>44409</v>
      </c>
      <c r="L1762" s="450">
        <v>44439</v>
      </c>
      <c r="M1762" s="540"/>
      <c r="N1762" s="540"/>
    </row>
    <row r="1763" spans="1:14" ht="24.75" hidden="1" customHeight="1" outlineLevel="3">
      <c r="A1763" s="438"/>
      <c r="B1763" s="457" t="s">
        <v>298</v>
      </c>
      <c r="C1763" s="457" t="s">
        <v>2315</v>
      </c>
      <c r="D1763" s="490" t="s">
        <v>1830</v>
      </c>
      <c r="E1763" s="385"/>
      <c r="F1763" s="385"/>
      <c r="G1763" s="385" t="s">
        <v>2336</v>
      </c>
      <c r="H1763" s="401" t="s">
        <v>2346</v>
      </c>
      <c r="I1763" s="385" t="s">
        <v>193</v>
      </c>
      <c r="J1763" s="489"/>
      <c r="K1763" s="450"/>
      <c r="L1763" s="450"/>
      <c r="M1763" s="490" t="s">
        <v>43</v>
      </c>
      <c r="N1763" s="490">
        <v>6.0000000000000001E-3</v>
      </c>
    </row>
    <row r="1764" spans="1:14" ht="24.75" hidden="1" customHeight="1" outlineLevel="3">
      <c r="A1764" s="450"/>
      <c r="B1764" s="457" t="s">
        <v>298</v>
      </c>
      <c r="C1764" s="457" t="s">
        <v>2315</v>
      </c>
      <c r="D1764" s="490" t="s">
        <v>1830</v>
      </c>
      <c r="E1764" s="385"/>
      <c r="F1764" s="385"/>
      <c r="G1764" s="385" t="s">
        <v>2336</v>
      </c>
      <c r="H1764" s="401" t="s">
        <v>2352</v>
      </c>
      <c r="I1764" s="385" t="s">
        <v>198</v>
      </c>
      <c r="J1764" s="489"/>
      <c r="K1764" s="450"/>
      <c r="L1764" s="450"/>
      <c r="M1764" s="490" t="s">
        <v>37</v>
      </c>
      <c r="N1764" s="490">
        <v>2</v>
      </c>
    </row>
    <row r="1765" spans="1:14" s="384" customFormat="1" ht="81" hidden="1" outlineLevel="2" collapsed="1">
      <c r="A1765" s="489" t="s">
        <v>3513</v>
      </c>
      <c r="B1765" s="490" t="s">
        <v>298</v>
      </c>
      <c r="C1765" s="398" t="s">
        <v>47</v>
      </c>
      <c r="D1765" s="398" t="s">
        <v>1830</v>
      </c>
      <c r="E1765" s="385" t="s">
        <v>2365</v>
      </c>
      <c r="F1765" s="385" t="s">
        <v>2366</v>
      </c>
      <c r="G1765" s="385"/>
      <c r="H1765" s="401" t="s">
        <v>2367</v>
      </c>
      <c r="I1765" s="385" t="str">
        <f>CONCATENATE(I1766," ",N1766,M1766," ",I1767," ",N1767,M1767," "," ",I1768," ",N1768,M1768," "," ",I1769," ",N1769,M1769," "," ",I1770," ",N1770,M1770)</f>
        <v>разработка грунта вручную в траншее 50м3 установка муфты соединительной 1шт  установка муфты концевой 2шт  укладка кабеля 101м  обратная засыпка траншеи вручную 50м3</v>
      </c>
      <c r="J1765" s="489" t="s">
        <v>365</v>
      </c>
      <c r="K1765" s="450">
        <v>44409</v>
      </c>
      <c r="L1765" s="450">
        <v>44439</v>
      </c>
      <c r="M1765" s="540"/>
      <c r="N1765" s="540"/>
    </row>
    <row r="1766" spans="1:14" hidden="1" outlineLevel="3">
      <c r="A1766" s="475"/>
      <c r="B1766" s="476" t="s">
        <v>298</v>
      </c>
      <c r="C1766" s="457" t="s">
        <v>47</v>
      </c>
      <c r="D1766" s="490" t="s">
        <v>1830</v>
      </c>
      <c r="E1766" s="385"/>
      <c r="F1766" s="385"/>
      <c r="G1766" s="459"/>
      <c r="H1766" s="401"/>
      <c r="I1766" s="385" t="s">
        <v>2368</v>
      </c>
      <c r="J1766" s="489" t="s">
        <v>365</v>
      </c>
      <c r="K1766" s="450"/>
      <c r="L1766" s="450"/>
      <c r="M1766" s="490" t="s">
        <v>1059</v>
      </c>
      <c r="N1766" s="490">
        <v>50</v>
      </c>
    </row>
    <row r="1767" spans="1:14" hidden="1" outlineLevel="3">
      <c r="A1767" s="475"/>
      <c r="B1767" s="476" t="s">
        <v>298</v>
      </c>
      <c r="C1767" s="457" t="s">
        <v>47</v>
      </c>
      <c r="D1767" s="490" t="s">
        <v>1830</v>
      </c>
      <c r="E1767" s="385"/>
      <c r="F1767" s="385"/>
      <c r="G1767" s="385"/>
      <c r="H1767" s="401" t="s">
        <v>2369</v>
      </c>
      <c r="I1767" s="385" t="s">
        <v>2370</v>
      </c>
      <c r="J1767" s="489" t="s">
        <v>365</v>
      </c>
      <c r="K1767" s="450"/>
      <c r="L1767" s="450"/>
      <c r="M1767" s="490" t="s">
        <v>813</v>
      </c>
      <c r="N1767" s="490">
        <v>1</v>
      </c>
    </row>
    <row r="1768" spans="1:14" hidden="1" outlineLevel="3">
      <c r="A1768" s="475"/>
      <c r="B1768" s="476" t="s">
        <v>298</v>
      </c>
      <c r="C1768" s="457" t="s">
        <v>47</v>
      </c>
      <c r="D1768" s="490" t="s">
        <v>1830</v>
      </c>
      <c r="E1768" s="385"/>
      <c r="F1768" s="385"/>
      <c r="G1768" s="385"/>
      <c r="H1768" s="401" t="s">
        <v>2371</v>
      </c>
      <c r="I1768" s="385" t="s">
        <v>2372</v>
      </c>
      <c r="J1768" s="489" t="s">
        <v>365</v>
      </c>
      <c r="K1768" s="450"/>
      <c r="L1768" s="450"/>
      <c r="M1768" s="490" t="s">
        <v>813</v>
      </c>
      <c r="N1768" s="490">
        <v>2</v>
      </c>
    </row>
    <row r="1769" spans="1:14" hidden="1" outlineLevel="3">
      <c r="A1769" s="412"/>
      <c r="B1769" s="476" t="s">
        <v>298</v>
      </c>
      <c r="C1769" s="457" t="s">
        <v>47</v>
      </c>
      <c r="D1769" s="490" t="s">
        <v>1830</v>
      </c>
      <c r="E1769" s="385"/>
      <c r="F1769" s="385"/>
      <c r="G1769" s="385"/>
      <c r="H1769" s="401" t="s">
        <v>2373</v>
      </c>
      <c r="I1769" s="385" t="s">
        <v>2374</v>
      </c>
      <c r="J1769" s="489" t="s">
        <v>365</v>
      </c>
      <c r="K1769" s="450"/>
      <c r="L1769" s="450"/>
      <c r="M1769" s="490" t="s">
        <v>1064</v>
      </c>
      <c r="N1769" s="490">
        <v>101</v>
      </c>
    </row>
    <row r="1770" spans="1:14" hidden="1" outlineLevel="3">
      <c r="A1770" s="412"/>
      <c r="B1770" s="476" t="s">
        <v>298</v>
      </c>
      <c r="C1770" s="457" t="s">
        <v>47</v>
      </c>
      <c r="D1770" s="490" t="s">
        <v>1830</v>
      </c>
      <c r="E1770" s="385"/>
      <c r="F1770" s="385"/>
      <c r="G1770" s="385"/>
      <c r="H1770" s="401"/>
      <c r="I1770" s="385" t="s">
        <v>2375</v>
      </c>
      <c r="J1770" s="489" t="s">
        <v>365</v>
      </c>
      <c r="K1770" s="450"/>
      <c r="L1770" s="450"/>
      <c r="M1770" s="490" t="s">
        <v>1059</v>
      </c>
      <c r="N1770" s="438">
        <v>50</v>
      </c>
    </row>
    <row r="1771" spans="1:14">
      <c r="A1771" s="403" t="s">
        <v>328</v>
      </c>
      <c r="B1771" s="403"/>
      <c r="C1771" s="403"/>
      <c r="D1771" s="403"/>
      <c r="E1771" s="490"/>
      <c r="F1771" s="385"/>
      <c r="G1771" s="385"/>
      <c r="H1771" s="539" t="s">
        <v>322</v>
      </c>
      <c r="I1771" s="385"/>
      <c r="J1771" s="489"/>
      <c r="K1771" s="450"/>
      <c r="L1771" s="450"/>
      <c r="M1771" s="389"/>
      <c r="N1771" s="389"/>
    </row>
    <row r="1772" spans="1:14" s="406" customFormat="1" ht="114.75" customHeight="1" outlineLevel="1" collapsed="1">
      <c r="A1772" s="489" t="s">
        <v>1305</v>
      </c>
      <c r="B1772" s="452" t="s">
        <v>301</v>
      </c>
      <c r="C1772" s="452" t="s">
        <v>47</v>
      </c>
      <c r="D1772" s="398" t="s">
        <v>1830</v>
      </c>
      <c r="E1772" s="490" t="s">
        <v>3514</v>
      </c>
      <c r="F1772" s="385" t="s">
        <v>2396</v>
      </c>
      <c r="G1772" s="385" t="s">
        <v>2435</v>
      </c>
      <c r="H1772" s="401" t="s">
        <v>3515</v>
      </c>
      <c r="I1772" s="483" t="str">
        <f>CONCATENATE(I1773," ",N1773,M1773," ",I1774," ",N1774,M1774," ",I1775," ",N1775,M1775," ",I1776," ",N1776,M1776," ",I1777," ",N1777,M1777)</f>
        <v>Замена опор 85шт. Установка опор 1шт. Демонтаж провода (по трассе) 3,028км Монтаж провода (по трассе) 3,028км Замена вводов 119шт.</v>
      </c>
      <c r="J1772" s="483" t="s">
        <v>365</v>
      </c>
      <c r="K1772" s="552">
        <v>44348</v>
      </c>
      <c r="L1772" s="552">
        <v>44469</v>
      </c>
      <c r="M1772" s="424"/>
      <c r="N1772" s="424"/>
    </row>
    <row r="1773" spans="1:14" s="478" customFormat="1" ht="69" hidden="1" customHeight="1" outlineLevel="2">
      <c r="A1773" s="438"/>
      <c r="B1773" s="452" t="s">
        <v>301</v>
      </c>
      <c r="C1773" s="452" t="s">
        <v>47</v>
      </c>
      <c r="D1773" s="398" t="s">
        <v>1830</v>
      </c>
      <c r="E1773" s="385"/>
      <c r="F1773" s="385"/>
      <c r="G1773" s="385"/>
      <c r="H1773" s="573" t="s">
        <v>3516</v>
      </c>
      <c r="I1773" s="385" t="s">
        <v>39</v>
      </c>
      <c r="J1773" s="489"/>
      <c r="K1773" s="489"/>
      <c r="L1773" s="489"/>
      <c r="M1773" s="490" t="s">
        <v>37</v>
      </c>
      <c r="N1773" s="424">
        <v>85</v>
      </c>
    </row>
    <row r="1774" spans="1:14" s="478" customFormat="1" ht="69" hidden="1" customHeight="1" outlineLevel="2">
      <c r="A1774" s="438"/>
      <c r="B1774" s="452" t="s">
        <v>301</v>
      </c>
      <c r="C1774" s="452" t="s">
        <v>47</v>
      </c>
      <c r="D1774" s="398" t="s">
        <v>1830</v>
      </c>
      <c r="E1774" s="385"/>
      <c r="F1774" s="385"/>
      <c r="G1774" s="408"/>
      <c r="H1774" s="574"/>
      <c r="I1774" s="385" t="s">
        <v>123</v>
      </c>
      <c r="J1774" s="489"/>
      <c r="K1774" s="489"/>
      <c r="L1774" s="489"/>
      <c r="M1774" s="490" t="s">
        <v>37</v>
      </c>
      <c r="N1774" s="424">
        <v>1</v>
      </c>
    </row>
    <row r="1775" spans="1:14" s="478" customFormat="1" ht="123" hidden="1" customHeight="1" outlineLevel="2">
      <c r="A1775" s="438"/>
      <c r="B1775" s="452" t="s">
        <v>301</v>
      </c>
      <c r="C1775" s="452" t="s">
        <v>47</v>
      </c>
      <c r="D1775" s="398" t="s">
        <v>1830</v>
      </c>
      <c r="E1775" s="385"/>
      <c r="F1775" s="385"/>
      <c r="G1775" s="385"/>
      <c r="H1775" s="522" t="s">
        <v>3517</v>
      </c>
      <c r="I1775" s="385" t="s">
        <v>126</v>
      </c>
      <c r="J1775" s="489"/>
      <c r="K1775" s="489"/>
      <c r="L1775" s="489"/>
      <c r="M1775" s="490" t="s">
        <v>308</v>
      </c>
      <c r="N1775" s="424">
        <v>3.028</v>
      </c>
    </row>
    <row r="1776" spans="1:14" s="478" customFormat="1" ht="134.25" hidden="1" customHeight="1" outlineLevel="2">
      <c r="A1776" s="438"/>
      <c r="B1776" s="452" t="s">
        <v>301</v>
      </c>
      <c r="C1776" s="452" t="s">
        <v>47</v>
      </c>
      <c r="D1776" s="398" t="s">
        <v>1830</v>
      </c>
      <c r="E1776" s="385"/>
      <c r="F1776" s="385"/>
      <c r="G1776" s="408"/>
      <c r="H1776" s="522" t="s">
        <v>3518</v>
      </c>
      <c r="I1776" s="385" t="s">
        <v>40</v>
      </c>
      <c r="J1776" s="489"/>
      <c r="K1776" s="489"/>
      <c r="L1776" s="489"/>
      <c r="M1776" s="490" t="s">
        <v>308</v>
      </c>
      <c r="N1776" s="424">
        <v>3.028</v>
      </c>
    </row>
    <row r="1777" spans="1:14" s="478" customFormat="1" ht="29.25" hidden="1" customHeight="1" outlineLevel="2">
      <c r="A1777" s="438"/>
      <c r="B1777" s="452" t="s">
        <v>301</v>
      </c>
      <c r="C1777" s="452" t="s">
        <v>47</v>
      </c>
      <c r="D1777" s="398" t="s">
        <v>1830</v>
      </c>
      <c r="E1777" s="385"/>
      <c r="F1777" s="385"/>
      <c r="G1777" s="385"/>
      <c r="H1777" s="401"/>
      <c r="I1777" s="402" t="s">
        <v>2397</v>
      </c>
      <c r="J1777" s="489"/>
      <c r="K1777" s="489"/>
      <c r="L1777" s="489"/>
      <c r="M1777" s="490" t="s">
        <v>37</v>
      </c>
      <c r="N1777" s="424">
        <v>119</v>
      </c>
    </row>
    <row r="1778" spans="1:14" s="406" customFormat="1" ht="137.25" customHeight="1" outlineLevel="1" collapsed="1">
      <c r="A1778" s="484" t="s">
        <v>1306</v>
      </c>
      <c r="B1778" s="498" t="s">
        <v>301</v>
      </c>
      <c r="C1778" s="498" t="s">
        <v>47</v>
      </c>
      <c r="D1778" s="499" t="s">
        <v>1830</v>
      </c>
      <c r="E1778" s="424" t="s">
        <v>3519</v>
      </c>
      <c r="F1778" s="483" t="s">
        <v>2396</v>
      </c>
      <c r="G1778" s="483" t="s">
        <v>2435</v>
      </c>
      <c r="H1778" s="482" t="s">
        <v>3520</v>
      </c>
      <c r="I1778" s="483" t="str">
        <f>CONCATENATE(I1779," ",N1779,M1779," ",I1780," ",N1780,M1780," ",I1781," ",N1781,M1781," ",I1782," ",N1782,M1782," ",I1783," ",N1783,M1783," ",I1784," ",N1784,M1784," ",I1785," ",N1785,M1785)</f>
        <v>Замена опор 26шт. Установка подкосов 5шт. Демонтаж провода (по трассе) 1,609км Монтаж провода (по трассе) 1,609км Замена вводов 68шт. Монтаж кабеля 0,05км Монтаж муфт 4шт.</v>
      </c>
      <c r="J1778" s="483" t="s">
        <v>365</v>
      </c>
      <c r="K1778" s="552">
        <v>44348</v>
      </c>
      <c r="L1778" s="552">
        <v>44469</v>
      </c>
      <c r="M1778" s="424"/>
      <c r="N1778" s="424"/>
    </row>
    <row r="1779" spans="1:14" s="492" customFormat="1" ht="113.25" hidden="1" customHeight="1" outlineLevel="2">
      <c r="A1779" s="485"/>
      <c r="B1779" s="498" t="s">
        <v>301</v>
      </c>
      <c r="C1779" s="498" t="s">
        <v>47</v>
      </c>
      <c r="D1779" s="499" t="s">
        <v>1830</v>
      </c>
      <c r="E1779" s="483"/>
      <c r="F1779" s="483"/>
      <c r="G1779" s="483"/>
      <c r="H1779" s="482" t="s">
        <v>3746</v>
      </c>
      <c r="I1779" s="483" t="s">
        <v>39</v>
      </c>
      <c r="J1779" s="484"/>
      <c r="K1779" s="484"/>
      <c r="L1779" s="484"/>
      <c r="M1779" s="424" t="s">
        <v>37</v>
      </c>
      <c r="N1779" s="424">
        <v>26</v>
      </c>
    </row>
    <row r="1780" spans="1:14" s="478" customFormat="1" ht="75.75" hidden="1" customHeight="1" outlineLevel="2">
      <c r="A1780" s="438"/>
      <c r="B1780" s="452" t="s">
        <v>301</v>
      </c>
      <c r="C1780" s="452" t="s">
        <v>47</v>
      </c>
      <c r="D1780" s="398" t="s">
        <v>1830</v>
      </c>
      <c r="E1780" s="385"/>
      <c r="F1780" s="385"/>
      <c r="G1780" s="408"/>
      <c r="H1780" s="401" t="s">
        <v>3521</v>
      </c>
      <c r="I1780" s="402" t="s">
        <v>3522</v>
      </c>
      <c r="J1780" s="489"/>
      <c r="K1780" s="489"/>
      <c r="L1780" s="489"/>
      <c r="M1780" s="490" t="s">
        <v>37</v>
      </c>
      <c r="N1780" s="490">
        <v>5</v>
      </c>
    </row>
    <row r="1781" spans="1:14" s="478" customFormat="1" ht="33" hidden="1" customHeight="1" outlineLevel="2">
      <c r="A1781" s="438"/>
      <c r="B1781" s="452" t="s">
        <v>301</v>
      </c>
      <c r="C1781" s="452" t="s">
        <v>47</v>
      </c>
      <c r="D1781" s="398" t="s">
        <v>1830</v>
      </c>
      <c r="E1781" s="385"/>
      <c r="F1781" s="385"/>
      <c r="G1781" s="385"/>
      <c r="H1781" s="578" t="s">
        <v>3523</v>
      </c>
      <c r="I1781" s="385" t="s">
        <v>126</v>
      </c>
      <c r="J1781" s="489"/>
      <c r="K1781" s="489"/>
      <c r="L1781" s="489"/>
      <c r="M1781" s="490" t="s">
        <v>308</v>
      </c>
      <c r="N1781" s="490">
        <v>1.609</v>
      </c>
    </row>
    <row r="1782" spans="1:14" s="478" customFormat="1" ht="30" hidden="1" customHeight="1" outlineLevel="2">
      <c r="A1782" s="438"/>
      <c r="B1782" s="452" t="s">
        <v>301</v>
      </c>
      <c r="C1782" s="452" t="s">
        <v>47</v>
      </c>
      <c r="D1782" s="398" t="s">
        <v>1830</v>
      </c>
      <c r="E1782" s="385"/>
      <c r="F1782" s="385"/>
      <c r="G1782" s="408"/>
      <c r="H1782" s="579"/>
      <c r="I1782" s="385" t="s">
        <v>40</v>
      </c>
      <c r="J1782" s="489"/>
      <c r="K1782" s="489"/>
      <c r="L1782" s="489"/>
      <c r="M1782" s="490" t="s">
        <v>308</v>
      </c>
      <c r="N1782" s="490">
        <v>1.609</v>
      </c>
    </row>
    <row r="1783" spans="1:14" s="478" customFormat="1" ht="29.25" hidden="1" customHeight="1" outlineLevel="2">
      <c r="A1783" s="438"/>
      <c r="B1783" s="452" t="s">
        <v>301</v>
      </c>
      <c r="C1783" s="452" t="s">
        <v>47</v>
      </c>
      <c r="D1783" s="398" t="s">
        <v>1830</v>
      </c>
      <c r="E1783" s="385"/>
      <c r="F1783" s="385"/>
      <c r="G1783" s="385"/>
      <c r="H1783" s="401"/>
      <c r="I1783" s="402" t="s">
        <v>2397</v>
      </c>
      <c r="J1783" s="489"/>
      <c r="K1783" s="489"/>
      <c r="L1783" s="489"/>
      <c r="M1783" s="490" t="s">
        <v>37</v>
      </c>
      <c r="N1783" s="490">
        <v>68</v>
      </c>
    </row>
    <row r="1784" spans="1:14" s="478" customFormat="1" hidden="1" outlineLevel="2">
      <c r="A1784" s="412"/>
      <c r="B1784" s="452" t="s">
        <v>301</v>
      </c>
      <c r="C1784" s="452" t="s">
        <v>47</v>
      </c>
      <c r="D1784" s="398" t="s">
        <v>1830</v>
      </c>
      <c r="E1784" s="385"/>
      <c r="F1784" s="385"/>
      <c r="G1784" s="385"/>
      <c r="H1784" s="401" t="s">
        <v>3524</v>
      </c>
      <c r="I1784" s="385" t="s">
        <v>193</v>
      </c>
      <c r="J1784" s="489"/>
      <c r="K1784" s="489"/>
      <c r="L1784" s="489"/>
      <c r="M1784" s="490" t="s">
        <v>308</v>
      </c>
      <c r="N1784" s="438">
        <v>0.05</v>
      </c>
    </row>
    <row r="1785" spans="1:14" s="479" customFormat="1" hidden="1" outlineLevel="2">
      <c r="A1785" s="412"/>
      <c r="B1785" s="452" t="s">
        <v>301</v>
      </c>
      <c r="C1785" s="452" t="s">
        <v>47</v>
      </c>
      <c r="D1785" s="398" t="s">
        <v>1830</v>
      </c>
      <c r="E1785" s="385"/>
      <c r="F1785" s="400"/>
      <c r="G1785" s="400"/>
      <c r="H1785" s="401" t="s">
        <v>3525</v>
      </c>
      <c r="I1785" s="385" t="s">
        <v>198</v>
      </c>
      <c r="J1785" s="489"/>
      <c r="K1785" s="489"/>
      <c r="L1785" s="489"/>
      <c r="M1785" s="490" t="s">
        <v>37</v>
      </c>
      <c r="N1785" s="490">
        <v>4</v>
      </c>
    </row>
    <row r="1786" spans="1:14" s="411" customFormat="1" ht="169.5" customHeight="1" outlineLevel="1" collapsed="1">
      <c r="A1786" s="489" t="s">
        <v>1307</v>
      </c>
      <c r="B1786" s="452" t="s">
        <v>301</v>
      </c>
      <c r="C1786" s="452" t="s">
        <v>47</v>
      </c>
      <c r="D1786" s="398" t="s">
        <v>1830</v>
      </c>
      <c r="E1786" s="490" t="s">
        <v>2398</v>
      </c>
      <c r="F1786" s="385" t="s">
        <v>2396</v>
      </c>
      <c r="G1786" s="385" t="s">
        <v>2435</v>
      </c>
      <c r="H1786" s="482" t="s">
        <v>2399</v>
      </c>
      <c r="I1786" s="483" t="str">
        <f>CONCATENATE(I1787," ",N1787,M1787," ",I1788," ",N1788,M1788," ",I1789," ",N1789,M1789," ",I1790," ",N1790,M1790," ",I1791," ",N1791,M1791," ",I1792," ",N1792,M1792," ",I1793," ",N1793,M1793)</f>
        <v>Замена опор 66шт. Установка опор 5шт. Демонтаж провода (по трассе) 2,498км Монтаж провода (по трассе) 2,498км Замена вводов 48шт. Монтаж кабеля 0,07км Монтаж муфт 4шт.</v>
      </c>
      <c r="J1786" s="483" t="s">
        <v>365</v>
      </c>
      <c r="K1786" s="552">
        <v>44348</v>
      </c>
      <c r="L1786" s="552">
        <v>44469</v>
      </c>
      <c r="M1786" s="424"/>
      <c r="N1786" s="424"/>
    </row>
    <row r="1787" spans="1:14" ht="20.25" hidden="1" customHeight="1" outlineLevel="2">
      <c r="A1787" s="438"/>
      <c r="B1787" s="452" t="s">
        <v>301</v>
      </c>
      <c r="C1787" s="452" t="s">
        <v>47</v>
      </c>
      <c r="D1787" s="398" t="s">
        <v>1830</v>
      </c>
      <c r="E1787" s="385"/>
      <c r="F1787" s="385"/>
      <c r="G1787" s="385"/>
      <c r="H1787" s="573" t="s">
        <v>3526</v>
      </c>
      <c r="I1787" s="483" t="s">
        <v>39</v>
      </c>
      <c r="J1787" s="484"/>
      <c r="K1787" s="487"/>
      <c r="L1787" s="487"/>
      <c r="M1787" s="424" t="s">
        <v>37</v>
      </c>
      <c r="N1787" s="424">
        <v>66</v>
      </c>
    </row>
    <row r="1788" spans="1:14" ht="20.25" hidden="1" customHeight="1" outlineLevel="2">
      <c r="A1788" s="438"/>
      <c r="B1788" s="452" t="s">
        <v>301</v>
      </c>
      <c r="C1788" s="452" t="s">
        <v>47</v>
      </c>
      <c r="D1788" s="398" t="s">
        <v>1830</v>
      </c>
      <c r="E1788" s="385"/>
      <c r="F1788" s="385"/>
      <c r="G1788" s="408"/>
      <c r="H1788" s="574"/>
      <c r="I1788" s="483" t="s">
        <v>123</v>
      </c>
      <c r="J1788" s="484"/>
      <c r="K1788" s="487"/>
      <c r="L1788" s="487"/>
      <c r="M1788" s="424" t="s">
        <v>37</v>
      </c>
      <c r="N1788" s="424">
        <v>5</v>
      </c>
    </row>
    <row r="1789" spans="1:14" ht="20.25" hidden="1" customHeight="1" outlineLevel="2">
      <c r="A1789" s="438"/>
      <c r="B1789" s="452" t="s">
        <v>301</v>
      </c>
      <c r="C1789" s="452" t="s">
        <v>47</v>
      </c>
      <c r="D1789" s="398" t="s">
        <v>1830</v>
      </c>
      <c r="E1789" s="385"/>
      <c r="F1789" s="385"/>
      <c r="G1789" s="385"/>
      <c r="H1789" s="573" t="s">
        <v>3527</v>
      </c>
      <c r="I1789" s="483" t="s">
        <v>126</v>
      </c>
      <c r="J1789" s="484"/>
      <c r="K1789" s="487"/>
      <c r="L1789" s="487"/>
      <c r="M1789" s="424" t="s">
        <v>308</v>
      </c>
      <c r="N1789" s="424">
        <v>2.4980000000000002</v>
      </c>
    </row>
    <row r="1790" spans="1:14" ht="20.25" hidden="1" customHeight="1" outlineLevel="2">
      <c r="A1790" s="438"/>
      <c r="B1790" s="452" t="s">
        <v>301</v>
      </c>
      <c r="C1790" s="452" t="s">
        <v>47</v>
      </c>
      <c r="D1790" s="398" t="s">
        <v>1830</v>
      </c>
      <c r="E1790" s="385"/>
      <c r="F1790" s="385"/>
      <c r="G1790" s="408"/>
      <c r="H1790" s="574"/>
      <c r="I1790" s="483" t="s">
        <v>40</v>
      </c>
      <c r="J1790" s="484"/>
      <c r="K1790" s="487"/>
      <c r="L1790" s="487"/>
      <c r="M1790" s="424" t="s">
        <v>308</v>
      </c>
      <c r="N1790" s="424">
        <v>2.4980000000000002</v>
      </c>
    </row>
    <row r="1791" spans="1:14" hidden="1" outlineLevel="2">
      <c r="A1791" s="438"/>
      <c r="B1791" s="452" t="s">
        <v>301</v>
      </c>
      <c r="C1791" s="452" t="s">
        <v>47</v>
      </c>
      <c r="D1791" s="398" t="s">
        <v>1830</v>
      </c>
      <c r="E1791" s="385"/>
      <c r="F1791" s="385"/>
      <c r="G1791" s="385"/>
      <c r="H1791" s="482"/>
      <c r="I1791" s="516" t="s">
        <v>2397</v>
      </c>
      <c r="J1791" s="484"/>
      <c r="K1791" s="487"/>
      <c r="L1791" s="487"/>
      <c r="M1791" s="424" t="s">
        <v>37</v>
      </c>
      <c r="N1791" s="424">
        <v>48</v>
      </c>
    </row>
    <row r="1792" spans="1:14" hidden="1" outlineLevel="2">
      <c r="A1792" s="412"/>
      <c r="B1792" s="452" t="s">
        <v>301</v>
      </c>
      <c r="C1792" s="452" t="s">
        <v>47</v>
      </c>
      <c r="D1792" s="398" t="s">
        <v>1830</v>
      </c>
      <c r="E1792" s="385"/>
      <c r="F1792" s="385"/>
      <c r="G1792" s="385"/>
      <c r="H1792" s="482" t="s">
        <v>3524</v>
      </c>
      <c r="I1792" s="483" t="s">
        <v>193</v>
      </c>
      <c r="J1792" s="484"/>
      <c r="K1792" s="487"/>
      <c r="L1792" s="487"/>
      <c r="M1792" s="424" t="s">
        <v>308</v>
      </c>
      <c r="N1792" s="424">
        <v>7.0000000000000007E-2</v>
      </c>
    </row>
    <row r="1793" spans="1:14" hidden="1" outlineLevel="2">
      <c r="A1793" s="412"/>
      <c r="B1793" s="452" t="s">
        <v>301</v>
      </c>
      <c r="C1793" s="452" t="s">
        <v>47</v>
      </c>
      <c r="D1793" s="398" t="s">
        <v>1830</v>
      </c>
      <c r="E1793" s="385"/>
      <c r="F1793" s="400"/>
      <c r="G1793" s="400"/>
      <c r="H1793" s="482" t="s">
        <v>3525</v>
      </c>
      <c r="I1793" s="483" t="s">
        <v>198</v>
      </c>
      <c r="J1793" s="484"/>
      <c r="K1793" s="487"/>
      <c r="L1793" s="487"/>
      <c r="M1793" s="424" t="s">
        <v>37</v>
      </c>
      <c r="N1793" s="424">
        <v>4</v>
      </c>
    </row>
    <row r="1794" spans="1:14" s="411" customFormat="1" ht="153" customHeight="1" outlineLevel="1" collapsed="1">
      <c r="A1794" s="489" t="s">
        <v>1308</v>
      </c>
      <c r="B1794" s="452" t="s">
        <v>301</v>
      </c>
      <c r="C1794" s="452" t="s">
        <v>47</v>
      </c>
      <c r="D1794" s="398" t="s">
        <v>1830</v>
      </c>
      <c r="E1794" s="490" t="s">
        <v>2400</v>
      </c>
      <c r="F1794" s="385" t="s">
        <v>2396</v>
      </c>
      <c r="G1794" s="385" t="s">
        <v>2435</v>
      </c>
      <c r="H1794" s="482" t="s">
        <v>2401</v>
      </c>
      <c r="I1794" s="483" t="str">
        <f>CONCATENATE(I1795," ",N1795,M1795," ",I1796," ",N1796,M1796," ",I1797," ",N1797,M1797," ",I1798," ",N1798,M1798," ",I1799," ",N1799,M1799," ",I1800," ",N1800,M1800," ",I1801," ",N1801,M1801)</f>
        <v>Замена опор 36шт. Установка опор 5шт. Демонтаж провода (по трассе) 1,364км Монтаж провода (по трассе) 1,364км Замена вводов 27шт. Монтаж кабеля 0,03км Монтаж муфт 2шт.</v>
      </c>
      <c r="J1794" s="483" t="s">
        <v>365</v>
      </c>
      <c r="K1794" s="552">
        <v>44348</v>
      </c>
      <c r="L1794" s="552">
        <v>44469</v>
      </c>
      <c r="M1794" s="424"/>
      <c r="N1794" s="424"/>
    </row>
    <row r="1795" spans="1:14" ht="20.25" hidden="1" customHeight="1" outlineLevel="2">
      <c r="A1795" s="438"/>
      <c r="B1795" s="452" t="s">
        <v>301</v>
      </c>
      <c r="C1795" s="452" t="s">
        <v>47</v>
      </c>
      <c r="D1795" s="398" t="s">
        <v>1830</v>
      </c>
      <c r="E1795" s="385"/>
      <c r="F1795" s="385"/>
      <c r="G1795" s="385"/>
      <c r="H1795" s="573" t="s">
        <v>3528</v>
      </c>
      <c r="I1795" s="483" t="s">
        <v>39</v>
      </c>
      <c r="J1795" s="484"/>
      <c r="K1795" s="487"/>
      <c r="L1795" s="487"/>
      <c r="M1795" s="424" t="s">
        <v>37</v>
      </c>
      <c r="N1795" s="424">
        <v>36</v>
      </c>
    </row>
    <row r="1796" spans="1:14" ht="20.25" hidden="1" customHeight="1" outlineLevel="2">
      <c r="A1796" s="438"/>
      <c r="B1796" s="452" t="s">
        <v>301</v>
      </c>
      <c r="C1796" s="452" t="s">
        <v>47</v>
      </c>
      <c r="D1796" s="398" t="s">
        <v>1830</v>
      </c>
      <c r="E1796" s="385"/>
      <c r="F1796" s="385"/>
      <c r="G1796" s="408"/>
      <c r="H1796" s="574"/>
      <c r="I1796" s="483" t="s">
        <v>123</v>
      </c>
      <c r="J1796" s="484"/>
      <c r="K1796" s="487"/>
      <c r="L1796" s="487"/>
      <c r="M1796" s="424" t="s">
        <v>37</v>
      </c>
      <c r="N1796" s="424">
        <v>5</v>
      </c>
    </row>
    <row r="1797" spans="1:14" ht="20.25" hidden="1" customHeight="1" outlineLevel="2">
      <c r="A1797" s="438"/>
      <c r="B1797" s="452" t="s">
        <v>301</v>
      </c>
      <c r="C1797" s="452" t="s">
        <v>47</v>
      </c>
      <c r="D1797" s="398" t="s">
        <v>1830</v>
      </c>
      <c r="E1797" s="385"/>
      <c r="F1797" s="385"/>
      <c r="G1797" s="385"/>
      <c r="H1797" s="573" t="s">
        <v>3529</v>
      </c>
      <c r="I1797" s="483" t="s">
        <v>126</v>
      </c>
      <c r="J1797" s="484"/>
      <c r="K1797" s="487"/>
      <c r="L1797" s="487"/>
      <c r="M1797" s="424" t="s">
        <v>308</v>
      </c>
      <c r="N1797" s="424">
        <v>1.3640000000000001</v>
      </c>
    </row>
    <row r="1798" spans="1:14" ht="20.25" hidden="1" customHeight="1" outlineLevel="2">
      <c r="A1798" s="438"/>
      <c r="B1798" s="452" t="s">
        <v>301</v>
      </c>
      <c r="C1798" s="452" t="s">
        <v>47</v>
      </c>
      <c r="D1798" s="398" t="s">
        <v>1830</v>
      </c>
      <c r="E1798" s="385"/>
      <c r="F1798" s="385"/>
      <c r="G1798" s="408"/>
      <c r="H1798" s="574"/>
      <c r="I1798" s="483" t="s">
        <v>40</v>
      </c>
      <c r="J1798" s="484"/>
      <c r="K1798" s="487"/>
      <c r="L1798" s="487"/>
      <c r="M1798" s="424" t="s">
        <v>308</v>
      </c>
      <c r="N1798" s="424">
        <v>1.3640000000000001</v>
      </c>
    </row>
    <row r="1799" spans="1:14" hidden="1" outlineLevel="2">
      <c r="A1799" s="438"/>
      <c r="B1799" s="452" t="s">
        <v>301</v>
      </c>
      <c r="C1799" s="452" t="s">
        <v>47</v>
      </c>
      <c r="D1799" s="398" t="s">
        <v>1830</v>
      </c>
      <c r="E1799" s="385"/>
      <c r="F1799" s="385"/>
      <c r="G1799" s="385"/>
      <c r="H1799" s="482"/>
      <c r="I1799" s="516" t="s">
        <v>2397</v>
      </c>
      <c r="J1799" s="484"/>
      <c r="K1799" s="487"/>
      <c r="L1799" s="487"/>
      <c r="M1799" s="424" t="s">
        <v>37</v>
      </c>
      <c r="N1799" s="424">
        <v>27</v>
      </c>
    </row>
    <row r="1800" spans="1:14" hidden="1" outlineLevel="2">
      <c r="A1800" s="412"/>
      <c r="B1800" s="452" t="s">
        <v>301</v>
      </c>
      <c r="C1800" s="452" t="s">
        <v>47</v>
      </c>
      <c r="D1800" s="398" t="s">
        <v>1830</v>
      </c>
      <c r="E1800" s="385"/>
      <c r="F1800" s="385"/>
      <c r="G1800" s="385"/>
      <c r="H1800" s="482" t="s">
        <v>3530</v>
      </c>
      <c r="I1800" s="483" t="s">
        <v>193</v>
      </c>
      <c r="J1800" s="484"/>
      <c r="K1800" s="487"/>
      <c r="L1800" s="487"/>
      <c r="M1800" s="424" t="s">
        <v>308</v>
      </c>
      <c r="N1800" s="424">
        <v>0.03</v>
      </c>
    </row>
    <row r="1801" spans="1:14" hidden="1" outlineLevel="2">
      <c r="A1801" s="412"/>
      <c r="B1801" s="452" t="s">
        <v>301</v>
      </c>
      <c r="C1801" s="452" t="s">
        <v>47</v>
      </c>
      <c r="D1801" s="398" t="s">
        <v>1830</v>
      </c>
      <c r="E1801" s="385"/>
      <c r="F1801" s="400"/>
      <c r="G1801" s="400"/>
      <c r="H1801" s="482" t="s">
        <v>3531</v>
      </c>
      <c r="I1801" s="483" t="s">
        <v>198</v>
      </c>
      <c r="J1801" s="484"/>
      <c r="K1801" s="487"/>
      <c r="L1801" s="487"/>
      <c r="M1801" s="424" t="s">
        <v>37</v>
      </c>
      <c r="N1801" s="424">
        <v>2</v>
      </c>
    </row>
    <row r="1802" spans="1:14" s="407" customFormat="1" ht="147.75" customHeight="1" outlineLevel="1" collapsed="1">
      <c r="A1802" s="489" t="s">
        <v>1309</v>
      </c>
      <c r="B1802" s="452" t="s">
        <v>301</v>
      </c>
      <c r="C1802" s="452" t="s">
        <v>47</v>
      </c>
      <c r="D1802" s="398" t="s">
        <v>1830</v>
      </c>
      <c r="E1802" s="490" t="s">
        <v>2402</v>
      </c>
      <c r="F1802" s="385" t="s">
        <v>2396</v>
      </c>
      <c r="G1802" s="385" t="s">
        <v>2435</v>
      </c>
      <c r="H1802" s="482" t="s">
        <v>3532</v>
      </c>
      <c r="I1802" s="483" t="str">
        <f>CONCATENATE(I1803," ",N1803,M1803," ",I1804," ",N1804,M1804," ",I1805," ",N1805,M1805," ",I1806," ",N1806,M1806," ",I1807," ",N1807,M1807)</f>
        <v>Замена опор 12шт. Демонтаж опор 5шт. Демонтаж провода (по трассе) 0,357км Монтаж провода (по трассе) 0,357км Замена вводов 25шт.</v>
      </c>
      <c r="J1802" s="483" t="s">
        <v>365</v>
      </c>
      <c r="K1802" s="552">
        <v>44348</v>
      </c>
      <c r="L1802" s="552">
        <v>44469</v>
      </c>
      <c r="M1802" s="424"/>
      <c r="N1802" s="424"/>
    </row>
    <row r="1803" spans="1:14" s="478" customFormat="1" ht="27.75" hidden="1" customHeight="1" outlineLevel="2">
      <c r="A1803" s="438"/>
      <c r="B1803" s="452" t="s">
        <v>301</v>
      </c>
      <c r="C1803" s="452" t="s">
        <v>47</v>
      </c>
      <c r="D1803" s="398" t="s">
        <v>1830</v>
      </c>
      <c r="E1803" s="385"/>
      <c r="F1803" s="385"/>
      <c r="G1803" s="385"/>
      <c r="H1803" s="482" t="s">
        <v>3533</v>
      </c>
      <c r="I1803" s="483" t="s">
        <v>39</v>
      </c>
      <c r="J1803" s="484"/>
      <c r="K1803" s="484"/>
      <c r="L1803" s="484"/>
      <c r="M1803" s="424" t="s">
        <v>37</v>
      </c>
      <c r="N1803" s="424">
        <v>12</v>
      </c>
    </row>
    <row r="1804" spans="1:14" s="478" customFormat="1" ht="32.25" hidden="1" customHeight="1" outlineLevel="2">
      <c r="A1804" s="438"/>
      <c r="B1804" s="452" t="s">
        <v>301</v>
      </c>
      <c r="C1804" s="452" t="s">
        <v>47</v>
      </c>
      <c r="D1804" s="398" t="s">
        <v>1830</v>
      </c>
      <c r="E1804" s="385"/>
      <c r="F1804" s="385"/>
      <c r="G1804" s="408"/>
      <c r="H1804" s="482" t="s">
        <v>3534</v>
      </c>
      <c r="I1804" s="483" t="s">
        <v>112</v>
      </c>
      <c r="J1804" s="484"/>
      <c r="K1804" s="484"/>
      <c r="L1804" s="484"/>
      <c r="M1804" s="424" t="s">
        <v>37</v>
      </c>
      <c r="N1804" s="424">
        <v>5</v>
      </c>
    </row>
    <row r="1805" spans="1:14" s="478" customFormat="1" ht="33" hidden="1" customHeight="1" outlineLevel="2">
      <c r="A1805" s="438"/>
      <c r="B1805" s="452" t="s">
        <v>301</v>
      </c>
      <c r="C1805" s="452" t="s">
        <v>47</v>
      </c>
      <c r="D1805" s="398" t="s">
        <v>1830</v>
      </c>
      <c r="E1805" s="385"/>
      <c r="F1805" s="385"/>
      <c r="G1805" s="385"/>
      <c r="H1805" s="573" t="s">
        <v>3535</v>
      </c>
      <c r="I1805" s="483" t="s">
        <v>126</v>
      </c>
      <c r="J1805" s="484"/>
      <c r="K1805" s="484"/>
      <c r="L1805" s="484"/>
      <c r="M1805" s="424" t="s">
        <v>308</v>
      </c>
      <c r="N1805" s="424">
        <v>0.35699999999999998</v>
      </c>
    </row>
    <row r="1806" spans="1:14" s="478" customFormat="1" ht="30" hidden="1" customHeight="1" outlineLevel="2">
      <c r="A1806" s="438"/>
      <c r="B1806" s="452" t="s">
        <v>301</v>
      </c>
      <c r="C1806" s="452" t="s">
        <v>47</v>
      </c>
      <c r="D1806" s="398" t="s">
        <v>1830</v>
      </c>
      <c r="E1806" s="385"/>
      <c r="F1806" s="385"/>
      <c r="G1806" s="408"/>
      <c r="H1806" s="574"/>
      <c r="I1806" s="483" t="s">
        <v>40</v>
      </c>
      <c r="J1806" s="484"/>
      <c r="K1806" s="484"/>
      <c r="L1806" s="484"/>
      <c r="M1806" s="424" t="s">
        <v>308</v>
      </c>
      <c r="N1806" s="424">
        <v>0.35699999999999998</v>
      </c>
    </row>
    <row r="1807" spans="1:14" s="478" customFormat="1" ht="29.25" hidden="1" customHeight="1" outlineLevel="2">
      <c r="A1807" s="438"/>
      <c r="B1807" s="452" t="s">
        <v>301</v>
      </c>
      <c r="C1807" s="452" t="s">
        <v>47</v>
      </c>
      <c r="D1807" s="398" t="s">
        <v>1830</v>
      </c>
      <c r="E1807" s="385"/>
      <c r="F1807" s="385"/>
      <c r="G1807" s="385"/>
      <c r="H1807" s="482"/>
      <c r="I1807" s="516" t="s">
        <v>2397</v>
      </c>
      <c r="J1807" s="484"/>
      <c r="K1807" s="484"/>
      <c r="L1807" s="484"/>
      <c r="M1807" s="424" t="s">
        <v>37</v>
      </c>
      <c r="N1807" s="424">
        <v>25</v>
      </c>
    </row>
    <row r="1808" spans="1:14" s="384" customFormat="1" ht="111" customHeight="1" outlineLevel="1" collapsed="1">
      <c r="A1808" s="489" t="s">
        <v>1310</v>
      </c>
      <c r="B1808" s="452" t="s">
        <v>301</v>
      </c>
      <c r="C1808" s="452" t="s">
        <v>49</v>
      </c>
      <c r="D1808" s="398" t="s">
        <v>1830</v>
      </c>
      <c r="E1808" s="490" t="s">
        <v>2403</v>
      </c>
      <c r="F1808" s="385" t="s">
        <v>2404</v>
      </c>
      <c r="G1808" s="385"/>
      <c r="H1808" s="482" t="s">
        <v>2405</v>
      </c>
      <c r="I1808" s="483" t="str">
        <f>CONCATENATE(I1809," ",N1809,M1809," ",I1810," ",N1810,M1810," ",I1811," ",N1811,M1811," ",I1812," ",N1812,M1812)</f>
        <v>Замена опор 47шт. Демонтаж провода (по трассе) 1,949км Монтаж провода (по трассе) 1,949км Замена вводов 22шт.</v>
      </c>
      <c r="J1808" s="483" t="s">
        <v>365</v>
      </c>
      <c r="K1808" s="552">
        <v>44348</v>
      </c>
      <c r="L1808" s="552">
        <v>44469</v>
      </c>
      <c r="M1808" s="424"/>
      <c r="N1808" s="424"/>
    </row>
    <row r="1809" spans="1:14" ht="40.5" hidden="1" outlineLevel="2">
      <c r="A1809" s="438"/>
      <c r="B1809" s="452" t="s">
        <v>301</v>
      </c>
      <c r="C1809" s="452" t="s">
        <v>49</v>
      </c>
      <c r="D1809" s="398" t="s">
        <v>1830</v>
      </c>
      <c r="E1809" s="385"/>
      <c r="F1809" s="385"/>
      <c r="G1809" s="385"/>
      <c r="H1809" s="482" t="s">
        <v>3536</v>
      </c>
      <c r="I1809" s="483" t="s">
        <v>39</v>
      </c>
      <c r="J1809" s="484"/>
      <c r="K1809" s="487"/>
      <c r="L1809" s="487"/>
      <c r="M1809" s="424" t="s">
        <v>37</v>
      </c>
      <c r="N1809" s="424">
        <v>47</v>
      </c>
    </row>
    <row r="1810" spans="1:14" ht="20.25" hidden="1" customHeight="1" outlineLevel="2">
      <c r="A1810" s="438"/>
      <c r="B1810" s="452" t="s">
        <v>301</v>
      </c>
      <c r="C1810" s="452" t="s">
        <v>49</v>
      </c>
      <c r="D1810" s="398" t="s">
        <v>1830</v>
      </c>
      <c r="E1810" s="385"/>
      <c r="F1810" s="385"/>
      <c r="G1810" s="408"/>
      <c r="H1810" s="573" t="s">
        <v>3537</v>
      </c>
      <c r="I1810" s="483" t="s">
        <v>126</v>
      </c>
      <c r="J1810" s="484"/>
      <c r="K1810" s="487"/>
      <c r="L1810" s="487"/>
      <c r="M1810" s="424" t="s">
        <v>308</v>
      </c>
      <c r="N1810" s="424">
        <v>1.9490000000000001</v>
      </c>
    </row>
    <row r="1811" spans="1:14" ht="20.25" hidden="1" customHeight="1" outlineLevel="2">
      <c r="A1811" s="438"/>
      <c r="B1811" s="452" t="s">
        <v>301</v>
      </c>
      <c r="C1811" s="452" t="s">
        <v>49</v>
      </c>
      <c r="D1811" s="398" t="s">
        <v>1830</v>
      </c>
      <c r="E1811" s="385"/>
      <c r="F1811" s="385"/>
      <c r="G1811" s="385"/>
      <c r="H1811" s="574"/>
      <c r="I1811" s="483" t="s">
        <v>40</v>
      </c>
      <c r="J1811" s="484"/>
      <c r="K1811" s="487"/>
      <c r="L1811" s="487"/>
      <c r="M1811" s="424" t="s">
        <v>308</v>
      </c>
      <c r="N1811" s="424">
        <v>1.9490000000000001</v>
      </c>
    </row>
    <row r="1812" spans="1:14" hidden="1" outlineLevel="2">
      <c r="A1812" s="438"/>
      <c r="B1812" s="452" t="s">
        <v>301</v>
      </c>
      <c r="C1812" s="452" t="s">
        <v>49</v>
      </c>
      <c r="D1812" s="398" t="s">
        <v>1830</v>
      </c>
      <c r="E1812" s="385"/>
      <c r="F1812" s="385"/>
      <c r="G1812" s="408"/>
      <c r="H1812" s="482"/>
      <c r="I1812" s="516" t="s">
        <v>2397</v>
      </c>
      <c r="J1812" s="484"/>
      <c r="K1812" s="487"/>
      <c r="L1812" s="487"/>
      <c r="M1812" s="424" t="s">
        <v>37</v>
      </c>
      <c r="N1812" s="424">
        <v>22</v>
      </c>
    </row>
    <row r="1813" spans="1:14" s="384" customFormat="1" ht="133.5" customHeight="1" outlineLevel="1" collapsed="1">
      <c r="A1813" s="489" t="s">
        <v>1758</v>
      </c>
      <c r="B1813" s="452" t="s">
        <v>301</v>
      </c>
      <c r="C1813" s="452" t="s">
        <v>2315</v>
      </c>
      <c r="D1813" s="398" t="s">
        <v>1830</v>
      </c>
      <c r="E1813" s="490" t="s">
        <v>2406</v>
      </c>
      <c r="F1813" s="385" t="s">
        <v>2407</v>
      </c>
      <c r="G1813" s="385" t="s">
        <v>2408</v>
      </c>
      <c r="H1813" s="482" t="s">
        <v>2409</v>
      </c>
      <c r="I1813" s="483" t="str">
        <f>CONCATENATE(I1814," ",N1814,M1814," ",I1815," ",N1815,M1815," ",I1816," ",N1816,M1816," ",I1817," ",N1817,M1817," ",I1818," ",N1818,M1818)</f>
        <v>Замена опор 28шт. Установка ОПН 4компл. Демонтаж провода (по трассе) 0,71км Монтаж провода (по трассе) 0,71км Замена вводов 23шт.</v>
      </c>
      <c r="J1813" s="483" t="s">
        <v>365</v>
      </c>
      <c r="K1813" s="552">
        <v>44348</v>
      </c>
      <c r="L1813" s="552">
        <v>44469</v>
      </c>
      <c r="M1813" s="424"/>
      <c r="N1813" s="424"/>
    </row>
    <row r="1814" spans="1:14" hidden="1" outlineLevel="2">
      <c r="A1814" s="438"/>
      <c r="B1814" s="452" t="s">
        <v>301</v>
      </c>
      <c r="C1814" s="452" t="s">
        <v>2315</v>
      </c>
      <c r="D1814" s="398" t="s">
        <v>1830</v>
      </c>
      <c r="E1814" s="385"/>
      <c r="F1814" s="385"/>
      <c r="G1814" s="385"/>
      <c r="H1814" s="482" t="s">
        <v>3538</v>
      </c>
      <c r="I1814" s="483" t="s">
        <v>39</v>
      </c>
      <c r="J1814" s="484"/>
      <c r="K1814" s="487"/>
      <c r="L1814" s="487"/>
      <c r="M1814" s="424" t="s">
        <v>37</v>
      </c>
      <c r="N1814" s="424">
        <v>28</v>
      </c>
    </row>
    <row r="1815" spans="1:14" hidden="1" outlineLevel="2">
      <c r="A1815" s="438"/>
      <c r="B1815" s="452" t="s">
        <v>301</v>
      </c>
      <c r="C1815" s="452" t="s">
        <v>2315</v>
      </c>
      <c r="D1815" s="398" t="s">
        <v>1830</v>
      </c>
      <c r="E1815" s="385"/>
      <c r="F1815" s="385"/>
      <c r="G1815" s="408"/>
      <c r="H1815" s="482" t="s">
        <v>3539</v>
      </c>
      <c r="I1815" s="483" t="s">
        <v>2217</v>
      </c>
      <c r="J1815" s="484"/>
      <c r="K1815" s="487"/>
      <c r="L1815" s="487"/>
      <c r="M1815" s="424" t="s">
        <v>2410</v>
      </c>
      <c r="N1815" s="424">
        <v>4</v>
      </c>
    </row>
    <row r="1816" spans="1:14" hidden="1" outlineLevel="2">
      <c r="A1816" s="438"/>
      <c r="B1816" s="452" t="s">
        <v>301</v>
      </c>
      <c r="C1816" s="452" t="s">
        <v>2315</v>
      </c>
      <c r="D1816" s="398" t="s">
        <v>1830</v>
      </c>
      <c r="E1816" s="385"/>
      <c r="F1816" s="385"/>
      <c r="G1816" s="385"/>
      <c r="H1816" s="482" t="s">
        <v>3540</v>
      </c>
      <c r="I1816" s="483" t="s">
        <v>126</v>
      </c>
      <c r="J1816" s="484"/>
      <c r="K1816" s="487"/>
      <c r="L1816" s="487"/>
      <c r="M1816" s="424" t="s">
        <v>308</v>
      </c>
      <c r="N1816" s="424">
        <v>0.71</v>
      </c>
    </row>
    <row r="1817" spans="1:14" hidden="1" outlineLevel="2">
      <c r="A1817" s="438"/>
      <c r="B1817" s="452" t="s">
        <v>301</v>
      </c>
      <c r="C1817" s="452" t="s">
        <v>2315</v>
      </c>
      <c r="D1817" s="398" t="s">
        <v>1830</v>
      </c>
      <c r="E1817" s="385"/>
      <c r="F1817" s="385"/>
      <c r="G1817" s="408"/>
      <c r="H1817" s="482" t="s">
        <v>3540</v>
      </c>
      <c r="I1817" s="483" t="s">
        <v>40</v>
      </c>
      <c r="J1817" s="484"/>
      <c r="K1817" s="487"/>
      <c r="L1817" s="487"/>
      <c r="M1817" s="424" t="s">
        <v>308</v>
      </c>
      <c r="N1817" s="424">
        <v>0.71</v>
      </c>
    </row>
    <row r="1818" spans="1:14" hidden="1" outlineLevel="2">
      <c r="A1818" s="438"/>
      <c r="B1818" s="452" t="s">
        <v>301</v>
      </c>
      <c r="C1818" s="452" t="s">
        <v>2315</v>
      </c>
      <c r="D1818" s="398" t="s">
        <v>1830</v>
      </c>
      <c r="E1818" s="385"/>
      <c r="F1818" s="385"/>
      <c r="G1818" s="385"/>
      <c r="H1818" s="482"/>
      <c r="I1818" s="516" t="s">
        <v>2397</v>
      </c>
      <c r="J1818" s="484"/>
      <c r="K1818" s="487"/>
      <c r="L1818" s="487"/>
      <c r="M1818" s="424" t="s">
        <v>37</v>
      </c>
      <c r="N1818" s="424">
        <v>23</v>
      </c>
    </row>
    <row r="1819" spans="1:14" s="384" customFormat="1" ht="128.25" customHeight="1" outlineLevel="1" collapsed="1">
      <c r="A1819" s="412" t="s">
        <v>1311</v>
      </c>
      <c r="B1819" s="452" t="s">
        <v>301</v>
      </c>
      <c r="C1819" s="452" t="s">
        <v>2168</v>
      </c>
      <c r="D1819" s="398" t="s">
        <v>1830</v>
      </c>
      <c r="E1819" s="490" t="s">
        <v>2411</v>
      </c>
      <c r="F1819" s="385" t="s">
        <v>1211</v>
      </c>
      <c r="G1819" s="385" t="s">
        <v>1213</v>
      </c>
      <c r="H1819" s="482" t="s">
        <v>3541</v>
      </c>
      <c r="I1819" s="483" t="str">
        <f>CONCATENATE(I1820," ",N1820,M1820," ",I1821," ",N1821,M1821," "," ",I1822," ",N1822,M1822," ",I1823," ",N1823,M1823," ",I1824," ",N1824,M1824," ",I1825," ",N1825,M1825," ",I1826," ",N1826,M1826," ",)</f>
        <v xml:space="preserve">Замена опор 18шт. Замена опор 8шт.  Демонтаж провода (по трассе) 0,982км Монтаж провода (по трассе) 1,57км Замена ответвлений к зданиям 12шт Установка разрядников 6шт Устройство повторных заземлений 5шт </v>
      </c>
      <c r="J1819" s="484" t="s">
        <v>365</v>
      </c>
      <c r="K1819" s="487">
        <v>44348</v>
      </c>
      <c r="L1819" s="553">
        <v>44530</v>
      </c>
      <c r="M1819" s="424"/>
      <c r="N1819" s="424"/>
    </row>
    <row r="1820" spans="1:14" ht="18" hidden="1" customHeight="1" outlineLevel="2">
      <c r="A1820" s="438"/>
      <c r="B1820" s="452" t="s">
        <v>301</v>
      </c>
      <c r="C1820" s="452" t="s">
        <v>2168</v>
      </c>
      <c r="D1820" s="398" t="s">
        <v>1830</v>
      </c>
      <c r="E1820" s="385"/>
      <c r="F1820" s="400"/>
      <c r="G1820" s="385"/>
      <c r="H1820" s="482"/>
      <c r="I1820" s="516" t="s">
        <v>39</v>
      </c>
      <c r="J1820" s="484" t="s">
        <v>365</v>
      </c>
      <c r="K1820" s="487"/>
      <c r="L1820" s="487"/>
      <c r="M1820" s="424" t="s">
        <v>37</v>
      </c>
      <c r="N1820" s="424">
        <v>18</v>
      </c>
    </row>
    <row r="1821" spans="1:14" ht="18" hidden="1" customHeight="1" outlineLevel="2">
      <c r="A1821" s="438"/>
      <c r="B1821" s="452" t="s">
        <v>301</v>
      </c>
      <c r="C1821" s="452" t="s">
        <v>2168</v>
      </c>
      <c r="D1821" s="398" t="s">
        <v>1830</v>
      </c>
      <c r="E1821" s="385"/>
      <c r="F1821" s="400"/>
      <c r="G1821" s="385"/>
      <c r="H1821" s="482"/>
      <c r="I1821" s="516" t="s">
        <v>39</v>
      </c>
      <c r="J1821" s="484" t="s">
        <v>365</v>
      </c>
      <c r="K1821" s="487"/>
      <c r="L1821" s="487"/>
      <c r="M1821" s="424" t="s">
        <v>37</v>
      </c>
      <c r="N1821" s="424">
        <v>8</v>
      </c>
    </row>
    <row r="1822" spans="1:14" ht="18" hidden="1" customHeight="1" outlineLevel="2">
      <c r="A1822" s="438"/>
      <c r="B1822" s="452" t="s">
        <v>301</v>
      </c>
      <c r="C1822" s="452" t="s">
        <v>2168</v>
      </c>
      <c r="D1822" s="398" t="s">
        <v>1830</v>
      </c>
      <c r="E1822" s="385"/>
      <c r="F1822" s="400"/>
      <c r="G1822" s="385"/>
      <c r="H1822" s="482"/>
      <c r="I1822" s="516" t="s">
        <v>126</v>
      </c>
      <c r="J1822" s="484" t="s">
        <v>365</v>
      </c>
      <c r="K1822" s="487"/>
      <c r="L1822" s="487"/>
      <c r="M1822" s="424" t="s">
        <v>308</v>
      </c>
      <c r="N1822" s="439">
        <v>0.98199999999999998</v>
      </c>
    </row>
    <row r="1823" spans="1:14" ht="18" hidden="1" customHeight="1" outlineLevel="2">
      <c r="A1823" s="438"/>
      <c r="B1823" s="452" t="s">
        <v>301</v>
      </c>
      <c r="C1823" s="452" t="s">
        <v>2168</v>
      </c>
      <c r="D1823" s="398" t="s">
        <v>1830</v>
      </c>
      <c r="E1823" s="385"/>
      <c r="F1823" s="400"/>
      <c r="H1823" s="482"/>
      <c r="I1823" s="516" t="s">
        <v>40</v>
      </c>
      <c r="J1823" s="484" t="s">
        <v>365</v>
      </c>
      <c r="K1823" s="487"/>
      <c r="L1823" s="487"/>
      <c r="M1823" s="424" t="s">
        <v>308</v>
      </c>
      <c r="N1823" s="424">
        <f>0.42+1.15</f>
        <v>1.5699999999999998</v>
      </c>
    </row>
    <row r="1824" spans="1:14" ht="18" hidden="1" customHeight="1" outlineLevel="2">
      <c r="A1824" s="438"/>
      <c r="B1824" s="452" t="s">
        <v>301</v>
      </c>
      <c r="C1824" s="452" t="s">
        <v>2168</v>
      </c>
      <c r="D1824" s="398" t="s">
        <v>1830</v>
      </c>
      <c r="E1824" s="385"/>
      <c r="F1824" s="400"/>
      <c r="G1824" s="385"/>
      <c r="H1824" s="482"/>
      <c r="I1824" s="516" t="s">
        <v>42</v>
      </c>
      <c r="J1824" s="484" t="s">
        <v>365</v>
      </c>
      <c r="K1824" s="487"/>
      <c r="L1824" s="487"/>
      <c r="M1824" s="424" t="s">
        <v>813</v>
      </c>
      <c r="N1824" s="424">
        <v>12</v>
      </c>
    </row>
    <row r="1825" spans="1:14" ht="18" hidden="1" customHeight="1" outlineLevel="2">
      <c r="A1825" s="438"/>
      <c r="B1825" s="452" t="s">
        <v>301</v>
      </c>
      <c r="C1825" s="452" t="s">
        <v>2168</v>
      </c>
      <c r="D1825" s="398" t="s">
        <v>1830</v>
      </c>
      <c r="E1825" s="385"/>
      <c r="F1825" s="400"/>
      <c r="G1825" s="385"/>
      <c r="H1825" s="482"/>
      <c r="I1825" s="516" t="s">
        <v>2133</v>
      </c>
      <c r="J1825" s="484" t="s">
        <v>365</v>
      </c>
      <c r="K1825" s="487"/>
      <c r="L1825" s="487"/>
      <c r="M1825" s="424" t="s">
        <v>813</v>
      </c>
      <c r="N1825" s="424">
        <v>6</v>
      </c>
    </row>
    <row r="1826" spans="1:14" ht="18" hidden="1" customHeight="1" outlineLevel="2">
      <c r="A1826" s="438"/>
      <c r="B1826" s="452" t="s">
        <v>301</v>
      </c>
      <c r="C1826" s="452" t="s">
        <v>2168</v>
      </c>
      <c r="D1826" s="398" t="s">
        <v>1830</v>
      </c>
      <c r="E1826" s="385"/>
      <c r="F1826" s="400"/>
      <c r="G1826" s="385"/>
      <c r="H1826" s="482"/>
      <c r="I1826" s="516" t="s">
        <v>2412</v>
      </c>
      <c r="J1826" s="484" t="s">
        <v>365</v>
      </c>
      <c r="K1826" s="487"/>
      <c r="L1826" s="487"/>
      <c r="M1826" s="424" t="s">
        <v>813</v>
      </c>
      <c r="N1826" s="424">
        <v>5</v>
      </c>
    </row>
    <row r="1827" spans="1:14" s="384" customFormat="1" ht="52.5" customHeight="1" outlineLevel="1" collapsed="1">
      <c r="A1827" s="412" t="s">
        <v>1312</v>
      </c>
      <c r="B1827" s="452" t="s">
        <v>301</v>
      </c>
      <c r="C1827" s="452" t="s">
        <v>1989</v>
      </c>
      <c r="D1827" s="398" t="s">
        <v>1830</v>
      </c>
      <c r="E1827" s="490" t="s">
        <v>2413</v>
      </c>
      <c r="F1827" s="385" t="s">
        <v>2169</v>
      </c>
      <c r="G1827" s="385"/>
      <c r="H1827" s="401" t="s">
        <v>2414</v>
      </c>
      <c r="I1827" s="385" t="str">
        <f>CONCATENATE(I1828," ",N1828,M1828," ",I1829," ",N1829,M1829," ",)</f>
        <v xml:space="preserve">Замена опор 2шт. Замена опор 2шт. </v>
      </c>
      <c r="J1827" s="489" t="s">
        <v>365</v>
      </c>
      <c r="K1827" s="450">
        <v>44470</v>
      </c>
      <c r="L1827" s="474">
        <v>44499</v>
      </c>
      <c r="M1827" s="490"/>
      <c r="N1827" s="490"/>
    </row>
    <row r="1828" spans="1:14" ht="23.25" hidden="1" customHeight="1" outlineLevel="2">
      <c r="A1828" s="438"/>
      <c r="B1828" s="438" t="s">
        <v>3542</v>
      </c>
      <c r="C1828" s="452" t="s">
        <v>1989</v>
      </c>
      <c r="D1828" s="398" t="s">
        <v>1830</v>
      </c>
      <c r="E1828" s="385"/>
      <c r="F1828" s="400" t="s">
        <v>2169</v>
      </c>
      <c r="G1828" s="385" t="s">
        <v>2170</v>
      </c>
      <c r="H1828" s="401"/>
      <c r="I1828" s="402" t="s">
        <v>39</v>
      </c>
      <c r="J1828" s="489" t="s">
        <v>365</v>
      </c>
      <c r="K1828" s="450"/>
      <c r="L1828" s="450"/>
      <c r="M1828" s="490" t="s">
        <v>37</v>
      </c>
      <c r="N1828" s="490">
        <v>2</v>
      </c>
    </row>
    <row r="1829" spans="1:14" ht="23.25" hidden="1" customHeight="1" outlineLevel="2">
      <c r="A1829" s="438"/>
      <c r="B1829" s="438" t="s">
        <v>3542</v>
      </c>
      <c r="C1829" s="452" t="s">
        <v>1989</v>
      </c>
      <c r="D1829" s="398" t="s">
        <v>1830</v>
      </c>
      <c r="E1829" s="385"/>
      <c r="F1829" s="400"/>
      <c r="G1829" s="385" t="s">
        <v>2415</v>
      </c>
      <c r="H1829" s="401"/>
      <c r="I1829" s="402" t="s">
        <v>39</v>
      </c>
      <c r="J1829" s="489" t="s">
        <v>365</v>
      </c>
      <c r="K1829" s="450"/>
      <c r="L1829" s="450"/>
      <c r="M1829" s="490" t="s">
        <v>37</v>
      </c>
      <c r="N1829" s="490">
        <v>2</v>
      </c>
    </row>
    <row r="1830" spans="1:14" s="384" customFormat="1" ht="40.5" outlineLevel="1" collapsed="1">
      <c r="A1830" s="412" t="s">
        <v>1313</v>
      </c>
      <c r="B1830" s="452" t="s">
        <v>301</v>
      </c>
      <c r="C1830" s="455" t="s">
        <v>49</v>
      </c>
      <c r="D1830" s="398" t="s">
        <v>1830</v>
      </c>
      <c r="E1830" s="490" t="s">
        <v>2417</v>
      </c>
      <c r="F1830" s="385" t="s">
        <v>303</v>
      </c>
      <c r="G1830" s="385"/>
      <c r="H1830" s="401" t="s">
        <v>2418</v>
      </c>
      <c r="I1830" s="385" t="str">
        <f>CONCATENATE(I1831," ",N1831,M1831," ",I1832," ",N1832,M1832)</f>
        <v>Монтаж кабеля 0,01км. Монтаж муфт 2шт</v>
      </c>
      <c r="J1830" s="489" t="s">
        <v>365</v>
      </c>
      <c r="K1830" s="450">
        <v>44378</v>
      </c>
      <c r="L1830" s="474">
        <v>44408</v>
      </c>
      <c r="M1830" s="490"/>
      <c r="N1830" s="490"/>
    </row>
    <row r="1831" spans="1:14" ht="30" hidden="1" customHeight="1" outlineLevel="2">
      <c r="A1831" s="412"/>
      <c r="B1831" s="476" t="s">
        <v>301</v>
      </c>
      <c r="C1831" s="412" t="s">
        <v>49</v>
      </c>
      <c r="D1831" s="398" t="s">
        <v>1830</v>
      </c>
      <c r="E1831" s="385"/>
      <c r="F1831" s="400"/>
      <c r="G1831" s="385"/>
      <c r="H1831" s="401" t="s">
        <v>2419</v>
      </c>
      <c r="I1831" s="385" t="s">
        <v>193</v>
      </c>
      <c r="J1831" s="489" t="s">
        <v>365</v>
      </c>
      <c r="K1831" s="450"/>
      <c r="L1831" s="450"/>
      <c r="M1831" s="490" t="s">
        <v>43</v>
      </c>
      <c r="N1831" s="490">
        <v>0.01</v>
      </c>
    </row>
    <row r="1832" spans="1:14" ht="30" hidden="1" customHeight="1" outlineLevel="2">
      <c r="A1832" s="412"/>
      <c r="B1832" s="476" t="s">
        <v>301</v>
      </c>
      <c r="C1832" s="412" t="s">
        <v>49</v>
      </c>
      <c r="D1832" s="398" t="s">
        <v>1830</v>
      </c>
      <c r="E1832" s="385"/>
      <c r="F1832" s="400"/>
      <c r="G1832" s="385"/>
      <c r="H1832" s="401" t="s">
        <v>2420</v>
      </c>
      <c r="I1832" s="385" t="s">
        <v>198</v>
      </c>
      <c r="J1832" s="489" t="s">
        <v>365</v>
      </c>
      <c r="K1832" s="450"/>
      <c r="L1832" s="450"/>
      <c r="M1832" s="490" t="s">
        <v>813</v>
      </c>
      <c r="N1832" s="490">
        <v>2</v>
      </c>
    </row>
    <row r="1833" spans="1:14" s="384" customFormat="1" ht="40.5" outlineLevel="1" collapsed="1">
      <c r="A1833" s="412" t="s">
        <v>1314</v>
      </c>
      <c r="B1833" s="452" t="s">
        <v>301</v>
      </c>
      <c r="C1833" s="455" t="s">
        <v>49</v>
      </c>
      <c r="D1833" s="398" t="s">
        <v>1830</v>
      </c>
      <c r="E1833" s="490" t="s">
        <v>2421</v>
      </c>
      <c r="F1833" s="385" t="s">
        <v>303</v>
      </c>
      <c r="G1833" s="385"/>
      <c r="H1833" s="401" t="s">
        <v>2422</v>
      </c>
      <c r="I1833" s="385" t="str">
        <f>CONCATENATE(I1834," ",N1834,M1834," ",I1835," ",N1835,M1835)</f>
        <v>Монтаж кабеля 0,01км. Монтаж муфт 2шт</v>
      </c>
      <c r="J1833" s="489" t="s">
        <v>365</v>
      </c>
      <c r="K1833" s="450">
        <v>44409</v>
      </c>
      <c r="L1833" s="474">
        <v>44439</v>
      </c>
      <c r="M1833" s="490"/>
      <c r="N1833" s="490"/>
    </row>
    <row r="1834" spans="1:14" ht="24" hidden="1" customHeight="1" outlineLevel="2">
      <c r="A1834" s="412"/>
      <c r="B1834" s="476" t="s">
        <v>301</v>
      </c>
      <c r="C1834" s="412" t="s">
        <v>49</v>
      </c>
      <c r="D1834" s="398" t="s">
        <v>1830</v>
      </c>
      <c r="E1834" s="385"/>
      <c r="F1834" s="400"/>
      <c r="G1834" s="385"/>
      <c r="H1834" s="401" t="s">
        <v>2419</v>
      </c>
      <c r="I1834" s="385" t="s">
        <v>193</v>
      </c>
      <c r="J1834" s="489" t="s">
        <v>365</v>
      </c>
      <c r="K1834" s="450"/>
      <c r="L1834" s="450"/>
      <c r="M1834" s="490" t="s">
        <v>43</v>
      </c>
      <c r="N1834" s="490">
        <v>0.01</v>
      </c>
    </row>
    <row r="1835" spans="1:14" ht="24" hidden="1" customHeight="1" outlineLevel="2">
      <c r="A1835" s="412"/>
      <c r="B1835" s="476" t="s">
        <v>301</v>
      </c>
      <c r="C1835" s="412" t="s">
        <v>49</v>
      </c>
      <c r="D1835" s="398" t="s">
        <v>1830</v>
      </c>
      <c r="E1835" s="385"/>
      <c r="F1835" s="400"/>
      <c r="G1835" s="385"/>
      <c r="H1835" s="401" t="s">
        <v>2420</v>
      </c>
      <c r="I1835" s="385" t="s">
        <v>198</v>
      </c>
      <c r="J1835" s="489" t="s">
        <v>365</v>
      </c>
      <c r="K1835" s="450"/>
      <c r="L1835" s="450"/>
      <c r="M1835" s="490" t="s">
        <v>813</v>
      </c>
      <c r="N1835" s="490">
        <v>2</v>
      </c>
    </row>
    <row r="1836" spans="1:14" s="384" customFormat="1" ht="40.5" outlineLevel="1" collapsed="1">
      <c r="A1836" s="412" t="s">
        <v>1315</v>
      </c>
      <c r="B1836" s="452" t="s">
        <v>301</v>
      </c>
      <c r="C1836" s="455" t="s">
        <v>49</v>
      </c>
      <c r="D1836" s="398" t="s">
        <v>1830</v>
      </c>
      <c r="E1836" s="490" t="s">
        <v>2424</v>
      </c>
      <c r="F1836" s="385" t="s">
        <v>303</v>
      </c>
      <c r="G1836" s="385"/>
      <c r="H1836" s="401" t="s">
        <v>2425</v>
      </c>
      <c r="I1836" s="385" t="str">
        <f>CONCATENATE(I1837," ",N1837,M1837," ",I1838," ",N1838,M1838)</f>
        <v>Монтаж кабеля 0,01км. Монтаж муфт 2шт</v>
      </c>
      <c r="J1836" s="489" t="s">
        <v>365</v>
      </c>
      <c r="K1836" s="450">
        <v>44440</v>
      </c>
      <c r="L1836" s="474">
        <v>44469</v>
      </c>
      <c r="M1836" s="490"/>
      <c r="N1836" s="490"/>
    </row>
    <row r="1837" spans="1:14" ht="31.5" hidden="1" customHeight="1" outlineLevel="2">
      <c r="A1837" s="412"/>
      <c r="B1837" s="476" t="s">
        <v>301</v>
      </c>
      <c r="C1837" s="412" t="s">
        <v>49</v>
      </c>
      <c r="D1837" s="398" t="s">
        <v>1830</v>
      </c>
      <c r="E1837" s="385"/>
      <c r="F1837" s="400"/>
      <c r="G1837" s="385"/>
      <c r="H1837" s="401" t="s">
        <v>2426</v>
      </c>
      <c r="I1837" s="385" t="s">
        <v>193</v>
      </c>
      <c r="J1837" s="489" t="s">
        <v>365</v>
      </c>
      <c r="K1837" s="450"/>
      <c r="L1837" s="450"/>
      <c r="M1837" s="490" t="s">
        <v>43</v>
      </c>
      <c r="N1837" s="490">
        <v>0.01</v>
      </c>
    </row>
    <row r="1838" spans="1:14" ht="31.5" hidden="1" customHeight="1" outlineLevel="2">
      <c r="A1838" s="412"/>
      <c r="B1838" s="476" t="s">
        <v>301</v>
      </c>
      <c r="C1838" s="412" t="s">
        <v>49</v>
      </c>
      <c r="D1838" s="398" t="s">
        <v>1830</v>
      </c>
      <c r="E1838" s="385"/>
      <c r="F1838" s="400"/>
      <c r="G1838" s="385"/>
      <c r="H1838" s="401" t="s">
        <v>2420</v>
      </c>
      <c r="I1838" s="385" t="s">
        <v>198</v>
      </c>
      <c r="J1838" s="489" t="s">
        <v>365</v>
      </c>
      <c r="K1838" s="450"/>
      <c r="L1838" s="450"/>
      <c r="M1838" s="490" t="s">
        <v>813</v>
      </c>
      <c r="N1838" s="490">
        <v>2</v>
      </c>
    </row>
    <row r="1839" spans="1:14" s="384" customFormat="1" ht="40.5" outlineLevel="1" collapsed="1">
      <c r="A1839" s="412" t="s">
        <v>1759</v>
      </c>
      <c r="B1839" s="452" t="s">
        <v>301</v>
      </c>
      <c r="C1839" s="398" t="s">
        <v>2315</v>
      </c>
      <c r="D1839" s="398" t="s">
        <v>1830</v>
      </c>
      <c r="E1839" s="490" t="s">
        <v>2428</v>
      </c>
      <c r="F1839" s="385" t="s">
        <v>303</v>
      </c>
      <c r="G1839" s="385"/>
      <c r="H1839" s="401" t="s">
        <v>2429</v>
      </c>
      <c r="I1839" s="385" t="str">
        <f>CONCATENATE(I1840," ",N1840,M1840," ",I1841," ",N1841,M1841," "," ",I1842," ",N1842,M17289)</f>
        <v>Обрезка крон деревьев 20шт. Перетяжка провода 0,5км  Выправка опор 17</v>
      </c>
      <c r="J1839" s="489" t="s">
        <v>365</v>
      </c>
      <c r="K1839" s="450">
        <v>44287</v>
      </c>
      <c r="L1839" s="474">
        <v>44347</v>
      </c>
      <c r="M1839" s="490"/>
      <c r="N1839" s="490"/>
    </row>
    <row r="1840" spans="1:14" ht="32.25" hidden="1" customHeight="1" outlineLevel="2">
      <c r="A1840" s="438"/>
      <c r="B1840" s="457" t="s">
        <v>301</v>
      </c>
      <c r="C1840" s="438" t="s">
        <v>2315</v>
      </c>
      <c r="D1840" s="398" t="s">
        <v>1830</v>
      </c>
      <c r="E1840" s="385"/>
      <c r="F1840" s="400"/>
      <c r="G1840" s="385" t="s">
        <v>2430</v>
      </c>
      <c r="H1840" s="401" t="s">
        <v>2431</v>
      </c>
      <c r="I1840" s="385" t="s">
        <v>215</v>
      </c>
      <c r="J1840" s="489" t="s">
        <v>365</v>
      </c>
      <c r="K1840" s="450"/>
      <c r="L1840" s="450"/>
      <c r="M1840" s="490" t="s">
        <v>37</v>
      </c>
      <c r="N1840" s="490">
        <v>20</v>
      </c>
    </row>
    <row r="1841" spans="1:14" ht="32.25" hidden="1" customHeight="1" outlineLevel="2">
      <c r="A1841" s="438"/>
      <c r="B1841" s="457" t="s">
        <v>301</v>
      </c>
      <c r="C1841" s="438" t="s">
        <v>2315</v>
      </c>
      <c r="D1841" s="398" t="s">
        <v>1830</v>
      </c>
      <c r="E1841" s="385"/>
      <c r="F1841" s="400"/>
      <c r="G1841" s="385" t="s">
        <v>2430</v>
      </c>
      <c r="H1841" s="401" t="s">
        <v>2431</v>
      </c>
      <c r="I1841" s="385" t="s">
        <v>197</v>
      </c>
      <c r="J1841" s="489" t="s">
        <v>365</v>
      </c>
      <c r="K1841" s="450"/>
      <c r="L1841" s="450"/>
      <c r="M1841" s="490" t="s">
        <v>308</v>
      </c>
      <c r="N1841" s="490">
        <v>0.5</v>
      </c>
    </row>
    <row r="1842" spans="1:14" ht="32.25" hidden="1" customHeight="1" outlineLevel="2">
      <c r="A1842" s="438"/>
      <c r="B1842" s="457" t="s">
        <v>301</v>
      </c>
      <c r="C1842" s="438" t="s">
        <v>2315</v>
      </c>
      <c r="D1842" s="398" t="s">
        <v>1830</v>
      </c>
      <c r="E1842" s="385"/>
      <c r="F1842" s="400"/>
      <c r="G1842" s="385" t="s">
        <v>2430</v>
      </c>
      <c r="H1842" s="401" t="s">
        <v>2432</v>
      </c>
      <c r="I1842" s="385" t="s">
        <v>167</v>
      </c>
      <c r="J1842" s="489" t="s">
        <v>365</v>
      </c>
      <c r="K1842" s="450"/>
      <c r="L1842" s="450"/>
      <c r="M1842" s="490" t="s">
        <v>37</v>
      </c>
      <c r="N1842" s="490">
        <v>17</v>
      </c>
    </row>
    <row r="1843" spans="1:14" s="384" customFormat="1" ht="147" customHeight="1" outlineLevel="1" collapsed="1">
      <c r="A1843" s="412" t="s">
        <v>2423</v>
      </c>
      <c r="B1843" s="452" t="s">
        <v>301</v>
      </c>
      <c r="C1843" s="398" t="s">
        <v>47</v>
      </c>
      <c r="D1843" s="398" t="s">
        <v>1830</v>
      </c>
      <c r="E1843" s="490" t="s">
        <v>2434</v>
      </c>
      <c r="F1843" s="385" t="s">
        <v>2396</v>
      </c>
      <c r="G1843" s="385" t="s">
        <v>2435</v>
      </c>
      <c r="H1843" s="401" t="s">
        <v>2436</v>
      </c>
      <c r="I1843" s="385" t="str">
        <f>CONCATENATE(I1844," ",N1844,M1844," ",I1845," ",N1845,M1845," "," ",I1846," ",N1846,M1846," ",I1847," ",N1847,M1847," ",I1848," ",N1848,M1848," ",I1849," ",N1849,M1849," ",I1850," ",N1850,M1850,"",I1851," ",N1851,M1851," ",I1852," ",N1852,M1852,," ",I1853,"",N1853,M1853)</f>
        <v>Демонтаж опор 1шт Установка опор 2шт  Установка укоса 8шт Устройство повторного заземления 3шт Устройство заземляющего спуска 3шт Демонтаж провода (по трассе) 0,4км Монтаж провода (по трассе) 0,4кмУстройство ввода в КТП 2шт Монтаж кабеля 64м Монтаж муфт4шт</v>
      </c>
      <c r="J1843" s="489" t="s">
        <v>365</v>
      </c>
      <c r="K1843" s="450">
        <v>44378</v>
      </c>
      <c r="L1843" s="474">
        <v>44439</v>
      </c>
      <c r="M1843" s="490"/>
      <c r="N1843" s="490"/>
    </row>
    <row r="1844" spans="1:14" hidden="1" outlineLevel="2">
      <c r="A1844" s="412"/>
      <c r="B1844" s="452" t="s">
        <v>301</v>
      </c>
      <c r="C1844" s="455" t="s">
        <v>47</v>
      </c>
      <c r="D1844" s="398" t="s">
        <v>1830</v>
      </c>
      <c r="E1844" s="385"/>
      <c r="F1844" s="400"/>
      <c r="G1844" s="385"/>
      <c r="H1844" s="401"/>
      <c r="I1844" s="385" t="s">
        <v>112</v>
      </c>
      <c r="J1844" s="489"/>
      <c r="K1844" s="450"/>
      <c r="L1844" s="450"/>
      <c r="M1844" s="490" t="s">
        <v>813</v>
      </c>
      <c r="N1844" s="490">
        <v>1</v>
      </c>
    </row>
    <row r="1845" spans="1:14" hidden="1" outlineLevel="2">
      <c r="A1845" s="412"/>
      <c r="B1845" s="452" t="s">
        <v>301</v>
      </c>
      <c r="C1845" s="455" t="s">
        <v>47</v>
      </c>
      <c r="D1845" s="398" t="s">
        <v>1830</v>
      </c>
      <c r="E1845" s="385"/>
      <c r="F1845" s="400"/>
      <c r="G1845" s="385"/>
      <c r="H1845" s="401"/>
      <c r="I1845" s="385" t="s">
        <v>123</v>
      </c>
      <c r="J1845" s="489"/>
      <c r="K1845" s="450"/>
      <c r="L1845" s="450"/>
      <c r="M1845" s="490" t="s">
        <v>813</v>
      </c>
      <c r="N1845" s="490">
        <v>2</v>
      </c>
    </row>
    <row r="1846" spans="1:14" hidden="1" outlineLevel="2">
      <c r="A1846" s="412"/>
      <c r="B1846" s="452" t="s">
        <v>301</v>
      </c>
      <c r="C1846" s="455" t="s">
        <v>47</v>
      </c>
      <c r="D1846" s="398" t="s">
        <v>1830</v>
      </c>
      <c r="E1846" s="385"/>
      <c r="F1846" s="400"/>
      <c r="G1846" s="385"/>
      <c r="H1846" s="401"/>
      <c r="I1846" s="385" t="s">
        <v>103</v>
      </c>
      <c r="J1846" s="489"/>
      <c r="K1846" s="450"/>
      <c r="L1846" s="450"/>
      <c r="M1846" s="490" t="s">
        <v>813</v>
      </c>
      <c r="N1846" s="490">
        <v>8</v>
      </c>
    </row>
    <row r="1847" spans="1:14" hidden="1" outlineLevel="2">
      <c r="A1847" s="412"/>
      <c r="B1847" s="452" t="s">
        <v>301</v>
      </c>
      <c r="C1847" s="455" t="s">
        <v>47</v>
      </c>
      <c r="D1847" s="398" t="s">
        <v>1830</v>
      </c>
      <c r="E1847" s="385"/>
      <c r="F1847" s="400"/>
      <c r="G1847" s="385"/>
      <c r="H1847" s="401"/>
      <c r="I1847" s="402" t="s">
        <v>2416</v>
      </c>
      <c r="J1847" s="489"/>
      <c r="K1847" s="450"/>
      <c r="L1847" s="450"/>
      <c r="M1847" s="490" t="s">
        <v>813</v>
      </c>
      <c r="N1847" s="490">
        <v>3</v>
      </c>
    </row>
    <row r="1848" spans="1:14" hidden="1" outlineLevel="2">
      <c r="A1848" s="412"/>
      <c r="B1848" s="452" t="s">
        <v>301</v>
      </c>
      <c r="C1848" s="455" t="s">
        <v>47</v>
      </c>
      <c r="D1848" s="398" t="s">
        <v>1830</v>
      </c>
      <c r="E1848" s="385"/>
      <c r="F1848" s="400"/>
      <c r="G1848" s="385"/>
      <c r="H1848" s="401"/>
      <c r="I1848" s="402" t="s">
        <v>2437</v>
      </c>
      <c r="J1848" s="489"/>
      <c r="K1848" s="450"/>
      <c r="L1848" s="450"/>
      <c r="M1848" s="490" t="s">
        <v>813</v>
      </c>
      <c r="N1848" s="490">
        <v>3</v>
      </c>
    </row>
    <row r="1849" spans="1:14" hidden="1" outlineLevel="2">
      <c r="A1849" s="412"/>
      <c r="B1849" s="452" t="s">
        <v>301</v>
      </c>
      <c r="C1849" s="455" t="s">
        <v>47</v>
      </c>
      <c r="D1849" s="398" t="s">
        <v>1830</v>
      </c>
      <c r="E1849" s="385"/>
      <c r="F1849" s="400"/>
      <c r="G1849" s="385"/>
      <c r="H1849" s="401"/>
      <c r="I1849" s="385" t="s">
        <v>126</v>
      </c>
      <c r="J1849" s="489"/>
      <c r="K1849" s="450"/>
      <c r="L1849" s="450"/>
      <c r="M1849" s="490" t="s">
        <v>308</v>
      </c>
      <c r="N1849" s="490">
        <v>0.4</v>
      </c>
    </row>
    <row r="1850" spans="1:14" hidden="1" outlineLevel="2">
      <c r="A1850" s="412"/>
      <c r="B1850" s="452" t="s">
        <v>301</v>
      </c>
      <c r="C1850" s="455" t="s">
        <v>47</v>
      </c>
      <c r="D1850" s="398" t="s">
        <v>1830</v>
      </c>
      <c r="E1850" s="385"/>
      <c r="F1850" s="400"/>
      <c r="G1850" s="385"/>
      <c r="H1850" s="401"/>
      <c r="I1850" s="385" t="s">
        <v>40</v>
      </c>
      <c r="J1850" s="489"/>
      <c r="K1850" s="450"/>
      <c r="L1850" s="450"/>
      <c r="M1850" s="490" t="s">
        <v>308</v>
      </c>
      <c r="N1850" s="490">
        <v>0.4</v>
      </c>
    </row>
    <row r="1851" spans="1:14" hidden="1" outlineLevel="2">
      <c r="A1851" s="412"/>
      <c r="B1851" s="452" t="s">
        <v>301</v>
      </c>
      <c r="C1851" s="455" t="s">
        <v>47</v>
      </c>
      <c r="D1851" s="398" t="s">
        <v>1830</v>
      </c>
      <c r="E1851" s="385"/>
      <c r="F1851" s="400"/>
      <c r="G1851" s="385"/>
      <c r="H1851" s="401"/>
      <c r="I1851" s="402" t="s">
        <v>2438</v>
      </c>
      <c r="J1851" s="489"/>
      <c r="K1851" s="450"/>
      <c r="L1851" s="450"/>
      <c r="M1851" s="490" t="s">
        <v>813</v>
      </c>
      <c r="N1851" s="490">
        <v>2</v>
      </c>
    </row>
    <row r="1852" spans="1:14" hidden="1" outlineLevel="2">
      <c r="A1852" s="412"/>
      <c r="B1852" s="452" t="s">
        <v>301</v>
      </c>
      <c r="C1852" s="455" t="s">
        <v>47</v>
      </c>
      <c r="D1852" s="398" t="s">
        <v>1830</v>
      </c>
      <c r="E1852" s="385"/>
      <c r="F1852" s="400"/>
      <c r="G1852" s="385"/>
      <c r="H1852" s="401"/>
      <c r="I1852" s="385" t="s">
        <v>193</v>
      </c>
      <c r="J1852" s="489"/>
      <c r="K1852" s="450"/>
      <c r="L1852" s="450"/>
      <c r="M1852" s="490" t="s">
        <v>1064</v>
      </c>
      <c r="N1852" s="490">
        <v>64</v>
      </c>
    </row>
    <row r="1853" spans="1:14" hidden="1" outlineLevel="2">
      <c r="A1853" s="412"/>
      <c r="B1853" s="452" t="s">
        <v>301</v>
      </c>
      <c r="C1853" s="455" t="s">
        <v>47</v>
      </c>
      <c r="D1853" s="398" t="s">
        <v>1830</v>
      </c>
      <c r="E1853" s="385"/>
      <c r="F1853" s="400"/>
      <c r="G1853" s="385"/>
      <c r="H1853" s="401"/>
      <c r="I1853" s="385" t="s">
        <v>198</v>
      </c>
      <c r="J1853" s="489"/>
      <c r="K1853" s="450"/>
      <c r="L1853" s="450"/>
      <c r="M1853" s="490" t="s">
        <v>813</v>
      </c>
      <c r="N1853" s="490">
        <v>4</v>
      </c>
    </row>
    <row r="1854" spans="1:14" s="384" customFormat="1" ht="237" customHeight="1" outlineLevel="1" collapsed="1">
      <c r="A1854" s="412" t="s">
        <v>2427</v>
      </c>
      <c r="B1854" s="452" t="s">
        <v>301</v>
      </c>
      <c r="C1854" s="398" t="s">
        <v>47</v>
      </c>
      <c r="D1854" s="398" t="s">
        <v>1830</v>
      </c>
      <c r="E1854" s="490" t="s">
        <v>2440</v>
      </c>
      <c r="F1854" s="385" t="s">
        <v>2396</v>
      </c>
      <c r="G1854" s="385" t="s">
        <v>2435</v>
      </c>
      <c r="H1854" s="401" t="s">
        <v>2441</v>
      </c>
      <c r="I1854" s="385" t="str">
        <f>CONCATENATE(I1855," ",N1855,M1855," ",I1856," ",N1856,M1856," "," ",I1857," ",N1857,M1857," ",I1858," ",N1858,M1858," ",I1859," ",N1859,M1859," ",I1860," ",N1860,M1860," ",I1861," ",N1861,M1861,"",I1862," ",N1862,M1862," ",I1863," ",N1863,M1863,," ",I1864,"",N1864,M1864," ",I1865," ",N1865,M1865," ",I1866," ",N1866,M1866)</f>
        <v>Демонтаж опор 24шт Установка опор 28шт  Установка укоса 4шт Устройство повторного заземления 5шт Устройство заземляющего спуска 5шт Переподвеска провода (по трассе) 0,866км Монтаж провода (по трассе) 0,035кмУстройство ввода в КТП 1шт Монтаж кабеля 17м Монтаж муфт2шт Замена ответвлений к зданиям 32шт Переустановка ПУ с дер.опор на ж/б опоры 32шт</v>
      </c>
      <c r="J1854" s="489" t="s">
        <v>365</v>
      </c>
      <c r="K1854" s="450">
        <v>44470</v>
      </c>
      <c r="L1854" s="474">
        <v>44530</v>
      </c>
      <c r="M1854" s="490"/>
      <c r="N1854" s="490"/>
    </row>
    <row r="1855" spans="1:14" hidden="1" outlineLevel="2">
      <c r="A1855" s="412"/>
      <c r="B1855" s="452" t="s">
        <v>301</v>
      </c>
      <c r="C1855" s="455" t="s">
        <v>47</v>
      </c>
      <c r="D1855" s="398" t="s">
        <v>1830</v>
      </c>
      <c r="E1855" s="385"/>
      <c r="F1855" s="400"/>
      <c r="G1855" s="385"/>
      <c r="H1855" s="401"/>
      <c r="I1855" s="385" t="s">
        <v>112</v>
      </c>
      <c r="J1855" s="489"/>
      <c r="K1855" s="450"/>
      <c r="L1855" s="450"/>
      <c r="M1855" s="490" t="s">
        <v>813</v>
      </c>
      <c r="N1855" s="490">
        <v>24</v>
      </c>
    </row>
    <row r="1856" spans="1:14" hidden="1" outlineLevel="2">
      <c r="A1856" s="412"/>
      <c r="B1856" s="452" t="s">
        <v>301</v>
      </c>
      <c r="C1856" s="455" t="s">
        <v>47</v>
      </c>
      <c r="D1856" s="398" t="s">
        <v>1830</v>
      </c>
      <c r="E1856" s="385"/>
      <c r="F1856" s="400"/>
      <c r="G1856" s="385"/>
      <c r="H1856" s="401"/>
      <c r="I1856" s="385" t="s">
        <v>123</v>
      </c>
      <c r="J1856" s="489"/>
      <c r="K1856" s="450"/>
      <c r="L1856" s="450"/>
      <c r="M1856" s="490" t="s">
        <v>813</v>
      </c>
      <c r="N1856" s="490">
        <v>28</v>
      </c>
    </row>
    <row r="1857" spans="1:14" hidden="1" outlineLevel="2">
      <c r="A1857" s="412"/>
      <c r="B1857" s="452" t="s">
        <v>301</v>
      </c>
      <c r="C1857" s="455" t="s">
        <v>47</v>
      </c>
      <c r="D1857" s="398" t="s">
        <v>1830</v>
      </c>
      <c r="E1857" s="385"/>
      <c r="F1857" s="400"/>
      <c r="G1857" s="385"/>
      <c r="H1857" s="401"/>
      <c r="I1857" s="385" t="s">
        <v>103</v>
      </c>
      <c r="J1857" s="489"/>
      <c r="K1857" s="450"/>
      <c r="L1857" s="450"/>
      <c r="M1857" s="490" t="s">
        <v>813</v>
      </c>
      <c r="N1857" s="490">
        <v>4</v>
      </c>
    </row>
    <row r="1858" spans="1:14" hidden="1" outlineLevel="2">
      <c r="A1858" s="412"/>
      <c r="B1858" s="452" t="s">
        <v>301</v>
      </c>
      <c r="C1858" s="455" t="s">
        <v>47</v>
      </c>
      <c r="D1858" s="398" t="s">
        <v>1830</v>
      </c>
      <c r="E1858" s="385"/>
      <c r="F1858" s="400"/>
      <c r="G1858" s="385"/>
      <c r="H1858" s="401"/>
      <c r="I1858" s="402" t="s">
        <v>2416</v>
      </c>
      <c r="J1858" s="489"/>
      <c r="K1858" s="450"/>
      <c r="L1858" s="450"/>
      <c r="M1858" s="490" t="s">
        <v>813</v>
      </c>
      <c r="N1858" s="490">
        <v>5</v>
      </c>
    </row>
    <row r="1859" spans="1:14" hidden="1" outlineLevel="2">
      <c r="A1859" s="412"/>
      <c r="B1859" s="452" t="s">
        <v>301</v>
      </c>
      <c r="C1859" s="455" t="s">
        <v>47</v>
      </c>
      <c r="D1859" s="398" t="s">
        <v>1830</v>
      </c>
      <c r="E1859" s="385"/>
      <c r="F1859" s="400"/>
      <c r="G1859" s="385"/>
      <c r="H1859" s="401"/>
      <c r="I1859" s="402" t="s">
        <v>2437</v>
      </c>
      <c r="J1859" s="489"/>
      <c r="K1859" s="450"/>
      <c r="L1859" s="450"/>
      <c r="M1859" s="490" t="s">
        <v>813</v>
      </c>
      <c r="N1859" s="490">
        <v>5</v>
      </c>
    </row>
    <row r="1860" spans="1:14" hidden="1" outlineLevel="2">
      <c r="A1860" s="412"/>
      <c r="B1860" s="452" t="s">
        <v>301</v>
      </c>
      <c r="C1860" s="455" t="s">
        <v>47</v>
      </c>
      <c r="D1860" s="398" t="s">
        <v>1830</v>
      </c>
      <c r="E1860" s="385"/>
      <c r="F1860" s="400"/>
      <c r="G1860" s="385"/>
      <c r="H1860" s="401"/>
      <c r="I1860" s="402" t="s">
        <v>2442</v>
      </c>
      <c r="J1860" s="489"/>
      <c r="K1860" s="450"/>
      <c r="L1860" s="450"/>
      <c r="M1860" s="490" t="s">
        <v>308</v>
      </c>
      <c r="N1860" s="490">
        <v>0.86599999999999999</v>
      </c>
    </row>
    <row r="1861" spans="1:14" hidden="1" outlineLevel="2">
      <c r="A1861" s="412"/>
      <c r="B1861" s="452" t="s">
        <v>301</v>
      </c>
      <c r="C1861" s="455" t="s">
        <v>47</v>
      </c>
      <c r="D1861" s="398" t="s">
        <v>1830</v>
      </c>
      <c r="E1861" s="385"/>
      <c r="F1861" s="400"/>
      <c r="G1861" s="385"/>
      <c r="H1861" s="401"/>
      <c r="I1861" s="385" t="s">
        <v>40</v>
      </c>
      <c r="J1861" s="489"/>
      <c r="K1861" s="450"/>
      <c r="L1861" s="450"/>
      <c r="M1861" s="490" t="s">
        <v>308</v>
      </c>
      <c r="N1861" s="490">
        <v>3.5000000000000003E-2</v>
      </c>
    </row>
    <row r="1862" spans="1:14" hidden="1" outlineLevel="2">
      <c r="A1862" s="412"/>
      <c r="B1862" s="452" t="s">
        <v>301</v>
      </c>
      <c r="C1862" s="455" t="s">
        <v>47</v>
      </c>
      <c r="D1862" s="398" t="s">
        <v>1830</v>
      </c>
      <c r="E1862" s="385"/>
      <c r="F1862" s="400"/>
      <c r="G1862" s="385"/>
      <c r="H1862" s="401"/>
      <c r="I1862" s="402" t="s">
        <v>2438</v>
      </c>
      <c r="J1862" s="489"/>
      <c r="K1862" s="450"/>
      <c r="L1862" s="450"/>
      <c r="M1862" s="490" t="s">
        <v>813</v>
      </c>
      <c r="N1862" s="490">
        <v>1</v>
      </c>
    </row>
    <row r="1863" spans="1:14" hidden="1" outlineLevel="2">
      <c r="A1863" s="412"/>
      <c r="B1863" s="452" t="s">
        <v>301</v>
      </c>
      <c r="C1863" s="455" t="s">
        <v>47</v>
      </c>
      <c r="D1863" s="398" t="s">
        <v>1830</v>
      </c>
      <c r="E1863" s="385"/>
      <c r="F1863" s="400"/>
      <c r="G1863" s="385"/>
      <c r="H1863" s="401"/>
      <c r="I1863" s="385" t="s">
        <v>193</v>
      </c>
      <c r="J1863" s="489"/>
      <c r="K1863" s="450"/>
      <c r="L1863" s="450"/>
      <c r="M1863" s="490" t="s">
        <v>1064</v>
      </c>
      <c r="N1863" s="490">
        <v>17</v>
      </c>
    </row>
    <row r="1864" spans="1:14" hidden="1" outlineLevel="2">
      <c r="A1864" s="412"/>
      <c r="B1864" s="452" t="s">
        <v>301</v>
      </c>
      <c r="C1864" s="455" t="s">
        <v>47</v>
      </c>
      <c r="D1864" s="398" t="s">
        <v>1830</v>
      </c>
      <c r="E1864" s="385"/>
      <c r="F1864" s="400"/>
      <c r="G1864" s="385"/>
      <c r="H1864" s="401"/>
      <c r="I1864" s="385" t="s">
        <v>198</v>
      </c>
      <c r="J1864" s="489"/>
      <c r="K1864" s="450"/>
      <c r="L1864" s="450"/>
      <c r="M1864" s="490" t="s">
        <v>813</v>
      </c>
      <c r="N1864" s="490">
        <v>2</v>
      </c>
    </row>
    <row r="1865" spans="1:14" hidden="1" outlineLevel="2">
      <c r="A1865" s="412"/>
      <c r="B1865" s="452" t="s">
        <v>301</v>
      </c>
      <c r="C1865" s="455" t="s">
        <v>47</v>
      </c>
      <c r="D1865" s="398" t="s">
        <v>1830</v>
      </c>
      <c r="E1865" s="385"/>
      <c r="F1865" s="400"/>
      <c r="G1865" s="385"/>
      <c r="H1865" s="401"/>
      <c r="I1865" s="402" t="s">
        <v>42</v>
      </c>
      <c r="J1865" s="489"/>
      <c r="K1865" s="450"/>
      <c r="L1865" s="450"/>
      <c r="M1865" s="490" t="s">
        <v>813</v>
      </c>
      <c r="N1865" s="490">
        <v>32</v>
      </c>
    </row>
    <row r="1866" spans="1:14" hidden="1" outlineLevel="2">
      <c r="A1866" s="412"/>
      <c r="B1866" s="452" t="s">
        <v>301</v>
      </c>
      <c r="C1866" s="455" t="s">
        <v>47</v>
      </c>
      <c r="D1866" s="398" t="s">
        <v>1830</v>
      </c>
      <c r="E1866" s="385"/>
      <c r="F1866" s="400"/>
      <c r="G1866" s="385"/>
      <c r="H1866" s="401"/>
      <c r="I1866" s="402" t="s">
        <v>2443</v>
      </c>
      <c r="J1866" s="489"/>
      <c r="K1866" s="450"/>
      <c r="L1866" s="450"/>
      <c r="M1866" s="490" t="s">
        <v>813</v>
      </c>
      <c r="N1866" s="490">
        <v>32</v>
      </c>
    </row>
    <row r="1867" spans="1:14" s="384" customFormat="1" ht="248.25" customHeight="1" outlineLevel="1" collapsed="1">
      <c r="A1867" s="412" t="s">
        <v>2433</v>
      </c>
      <c r="B1867" s="452" t="s">
        <v>301</v>
      </c>
      <c r="C1867" s="398" t="s">
        <v>47</v>
      </c>
      <c r="D1867" s="398" t="s">
        <v>1830</v>
      </c>
      <c r="E1867" s="490" t="s">
        <v>2440</v>
      </c>
      <c r="F1867" s="385" t="s">
        <v>2396</v>
      </c>
      <c r="G1867" s="385" t="s">
        <v>2435</v>
      </c>
      <c r="H1867" s="401" t="s">
        <v>2445</v>
      </c>
      <c r="I1867" s="385" t="str">
        <f>CONCATENATE(I1868," ",N1868,M1868," ",I1869," ",N1869,M1869," "," ",I1870," ",N1870,M1870," ",I1871," ",N1871,M1871," ",I1872," ",N1872,M1872," ",I1873," ",N1873,M1873," ",I1874," ",N1874,M1874,"",I1875," ",N1875,M1875," ",I1876," ",N1876,M1876,," ",I1877,"",N1877,M1877," ",I1878," ",N1878,M1878," ",I1879," ",N1879,M1879)</f>
        <v>Демонтаж опор 25шт Установка опор 27шт  Установка укоса 1шт Устройство повторного заземления 4шт Устройство заземляющего спуска 4шт Демонтаж провода (по трассе) 0,845км Монтаж провода (по трассе) 0,845кмУстройство ввода в КТП 1шт Монтаж кабеля 17м Монтаж муфт2шт Замена ответвлений к зданиям 22шт Переустановка ПУ с дер.опор на ж/б опоры 24шт</v>
      </c>
      <c r="J1867" s="489" t="s">
        <v>365</v>
      </c>
      <c r="K1867" s="450">
        <v>44501</v>
      </c>
      <c r="L1867" s="474">
        <v>44530</v>
      </c>
      <c r="M1867" s="490"/>
      <c r="N1867" s="490"/>
    </row>
    <row r="1868" spans="1:14" hidden="1" outlineLevel="2">
      <c r="A1868" s="412"/>
      <c r="B1868" s="452" t="s">
        <v>301</v>
      </c>
      <c r="C1868" s="455" t="s">
        <v>47</v>
      </c>
      <c r="D1868" s="398" t="s">
        <v>1830</v>
      </c>
      <c r="E1868" s="385"/>
      <c r="F1868" s="400"/>
      <c r="G1868" s="385"/>
      <c r="H1868" s="401"/>
      <c r="I1868" s="385" t="s">
        <v>112</v>
      </c>
      <c r="J1868" s="489"/>
      <c r="K1868" s="450"/>
      <c r="L1868" s="450"/>
      <c r="M1868" s="490" t="s">
        <v>813</v>
      </c>
      <c r="N1868" s="490">
        <v>25</v>
      </c>
    </row>
    <row r="1869" spans="1:14" hidden="1" outlineLevel="2">
      <c r="A1869" s="412"/>
      <c r="B1869" s="452" t="s">
        <v>301</v>
      </c>
      <c r="C1869" s="455" t="s">
        <v>47</v>
      </c>
      <c r="D1869" s="398" t="s">
        <v>1830</v>
      </c>
      <c r="E1869" s="385"/>
      <c r="F1869" s="400"/>
      <c r="G1869" s="385"/>
      <c r="H1869" s="401"/>
      <c r="I1869" s="385" t="s">
        <v>123</v>
      </c>
      <c r="J1869" s="489"/>
      <c r="K1869" s="450"/>
      <c r="L1869" s="450"/>
      <c r="M1869" s="490" t="s">
        <v>813</v>
      </c>
      <c r="N1869" s="490">
        <v>27</v>
      </c>
    </row>
    <row r="1870" spans="1:14" hidden="1" outlineLevel="2">
      <c r="A1870" s="412"/>
      <c r="B1870" s="452" t="s">
        <v>301</v>
      </c>
      <c r="C1870" s="455" t="s">
        <v>47</v>
      </c>
      <c r="D1870" s="398" t="s">
        <v>1830</v>
      </c>
      <c r="E1870" s="385"/>
      <c r="F1870" s="400"/>
      <c r="G1870" s="385"/>
      <c r="H1870" s="401"/>
      <c r="I1870" s="385" t="s">
        <v>103</v>
      </c>
      <c r="J1870" s="489"/>
      <c r="K1870" s="450"/>
      <c r="L1870" s="450"/>
      <c r="M1870" s="490" t="s">
        <v>813</v>
      </c>
      <c r="N1870" s="490">
        <v>1</v>
      </c>
    </row>
    <row r="1871" spans="1:14" hidden="1" outlineLevel="2">
      <c r="A1871" s="412"/>
      <c r="B1871" s="452" t="s">
        <v>301</v>
      </c>
      <c r="C1871" s="455" t="s">
        <v>47</v>
      </c>
      <c r="D1871" s="398" t="s">
        <v>1830</v>
      </c>
      <c r="E1871" s="385"/>
      <c r="F1871" s="400"/>
      <c r="G1871" s="385"/>
      <c r="H1871" s="401"/>
      <c r="I1871" s="402" t="s">
        <v>2416</v>
      </c>
      <c r="J1871" s="489"/>
      <c r="K1871" s="450"/>
      <c r="L1871" s="450"/>
      <c r="M1871" s="490" t="s">
        <v>813</v>
      </c>
      <c r="N1871" s="490">
        <v>4</v>
      </c>
    </row>
    <row r="1872" spans="1:14" hidden="1" outlineLevel="2">
      <c r="A1872" s="412"/>
      <c r="B1872" s="452" t="s">
        <v>301</v>
      </c>
      <c r="C1872" s="455" t="s">
        <v>47</v>
      </c>
      <c r="D1872" s="398" t="s">
        <v>1830</v>
      </c>
      <c r="E1872" s="385"/>
      <c r="F1872" s="400"/>
      <c r="G1872" s="385"/>
      <c r="H1872" s="401"/>
      <c r="I1872" s="402" t="s">
        <v>2437</v>
      </c>
      <c r="J1872" s="489"/>
      <c r="K1872" s="450"/>
      <c r="L1872" s="450"/>
      <c r="M1872" s="490" t="s">
        <v>813</v>
      </c>
      <c r="N1872" s="490">
        <v>4</v>
      </c>
    </row>
    <row r="1873" spans="1:14" hidden="1" outlineLevel="2">
      <c r="A1873" s="412"/>
      <c r="B1873" s="452" t="s">
        <v>301</v>
      </c>
      <c r="C1873" s="455" t="s">
        <v>47</v>
      </c>
      <c r="D1873" s="398" t="s">
        <v>1830</v>
      </c>
      <c r="E1873" s="385"/>
      <c r="F1873" s="400"/>
      <c r="G1873" s="385"/>
      <c r="H1873" s="401"/>
      <c r="I1873" s="385" t="s">
        <v>126</v>
      </c>
      <c r="J1873" s="489"/>
      <c r="K1873" s="450"/>
      <c r="L1873" s="450"/>
      <c r="M1873" s="490" t="s">
        <v>308</v>
      </c>
      <c r="N1873" s="490">
        <v>0.84499999999999997</v>
      </c>
    </row>
    <row r="1874" spans="1:14" hidden="1" outlineLevel="2">
      <c r="A1874" s="412"/>
      <c r="B1874" s="452" t="s">
        <v>301</v>
      </c>
      <c r="C1874" s="455" t="s">
        <v>47</v>
      </c>
      <c r="D1874" s="398" t="s">
        <v>1830</v>
      </c>
      <c r="E1874" s="385"/>
      <c r="F1874" s="400"/>
      <c r="G1874" s="385"/>
      <c r="H1874" s="401"/>
      <c r="I1874" s="385" t="s">
        <v>40</v>
      </c>
      <c r="J1874" s="489"/>
      <c r="K1874" s="450"/>
      <c r="L1874" s="450"/>
      <c r="M1874" s="490" t="s">
        <v>308</v>
      </c>
      <c r="N1874" s="490">
        <v>0.84499999999999997</v>
      </c>
    </row>
    <row r="1875" spans="1:14" hidden="1" outlineLevel="2">
      <c r="A1875" s="412"/>
      <c r="B1875" s="452" t="s">
        <v>301</v>
      </c>
      <c r="C1875" s="455" t="s">
        <v>47</v>
      </c>
      <c r="D1875" s="398" t="s">
        <v>1830</v>
      </c>
      <c r="E1875" s="385"/>
      <c r="F1875" s="400"/>
      <c r="G1875" s="385"/>
      <c r="H1875" s="401"/>
      <c r="I1875" s="402" t="s">
        <v>2438</v>
      </c>
      <c r="J1875" s="489"/>
      <c r="K1875" s="450"/>
      <c r="L1875" s="450"/>
      <c r="M1875" s="490" t="s">
        <v>813</v>
      </c>
      <c r="N1875" s="490">
        <v>1</v>
      </c>
    </row>
    <row r="1876" spans="1:14" hidden="1" outlineLevel="2">
      <c r="A1876" s="412"/>
      <c r="B1876" s="452" t="s">
        <v>301</v>
      </c>
      <c r="C1876" s="455" t="s">
        <v>47</v>
      </c>
      <c r="D1876" s="398" t="s">
        <v>1830</v>
      </c>
      <c r="E1876" s="385"/>
      <c r="F1876" s="400"/>
      <c r="G1876" s="385"/>
      <c r="H1876" s="401"/>
      <c r="I1876" s="385" t="s">
        <v>193</v>
      </c>
      <c r="J1876" s="489"/>
      <c r="K1876" s="450"/>
      <c r="L1876" s="450"/>
      <c r="M1876" s="490" t="s">
        <v>1064</v>
      </c>
      <c r="N1876" s="490">
        <v>17</v>
      </c>
    </row>
    <row r="1877" spans="1:14" hidden="1" outlineLevel="2">
      <c r="A1877" s="412"/>
      <c r="B1877" s="452" t="s">
        <v>301</v>
      </c>
      <c r="C1877" s="455" t="s">
        <v>47</v>
      </c>
      <c r="D1877" s="398" t="s">
        <v>1830</v>
      </c>
      <c r="E1877" s="385"/>
      <c r="F1877" s="400"/>
      <c r="G1877" s="385"/>
      <c r="H1877" s="401"/>
      <c r="I1877" s="385" t="s">
        <v>198</v>
      </c>
      <c r="J1877" s="489"/>
      <c r="K1877" s="450"/>
      <c r="L1877" s="450"/>
      <c r="M1877" s="490" t="s">
        <v>813</v>
      </c>
      <c r="N1877" s="490">
        <v>2</v>
      </c>
    </row>
    <row r="1878" spans="1:14" hidden="1" outlineLevel="2">
      <c r="A1878" s="412"/>
      <c r="B1878" s="452" t="s">
        <v>301</v>
      </c>
      <c r="C1878" s="455" t="s">
        <v>47</v>
      </c>
      <c r="D1878" s="398" t="s">
        <v>1830</v>
      </c>
      <c r="E1878" s="385"/>
      <c r="F1878" s="400"/>
      <c r="G1878" s="385"/>
      <c r="H1878" s="401"/>
      <c r="I1878" s="402" t="s">
        <v>42</v>
      </c>
      <c r="J1878" s="489"/>
      <c r="K1878" s="450"/>
      <c r="L1878" s="450"/>
      <c r="M1878" s="490" t="s">
        <v>813</v>
      </c>
      <c r="N1878" s="490">
        <v>22</v>
      </c>
    </row>
    <row r="1879" spans="1:14" hidden="1" outlineLevel="2">
      <c r="A1879" s="412"/>
      <c r="B1879" s="452" t="s">
        <v>301</v>
      </c>
      <c r="C1879" s="455" t="s">
        <v>47</v>
      </c>
      <c r="D1879" s="398" t="s">
        <v>1830</v>
      </c>
      <c r="E1879" s="385"/>
      <c r="F1879" s="400"/>
      <c r="G1879" s="385"/>
      <c r="H1879" s="401"/>
      <c r="I1879" s="402" t="s">
        <v>2443</v>
      </c>
      <c r="J1879" s="489"/>
      <c r="K1879" s="450"/>
      <c r="L1879" s="450"/>
      <c r="M1879" s="490" t="s">
        <v>813</v>
      </c>
      <c r="N1879" s="490">
        <v>24</v>
      </c>
    </row>
    <row r="1880" spans="1:14" s="384" customFormat="1" ht="233.25" customHeight="1" outlineLevel="1" collapsed="1">
      <c r="A1880" s="412" t="s">
        <v>2439</v>
      </c>
      <c r="B1880" s="452" t="s">
        <v>301</v>
      </c>
      <c r="C1880" s="398" t="s">
        <v>47</v>
      </c>
      <c r="D1880" s="398" t="s">
        <v>1830</v>
      </c>
      <c r="E1880" s="490" t="s">
        <v>2447</v>
      </c>
      <c r="F1880" s="385" t="s">
        <v>2396</v>
      </c>
      <c r="G1880" s="385" t="s">
        <v>2435</v>
      </c>
      <c r="H1880" s="401" t="s">
        <v>2448</v>
      </c>
      <c r="I1880" s="385" t="str">
        <f>CONCATENATE(I1881," ",N1881,M1881," ",I1882," ",N1882,M1882," "," ",I1883," ",N1883,M1883," ",I1884," ",N1884,M1884," ",I1885," ",N1885,M1885," ",I1886," ",N1886,M1886," ",I1887," ",N1887,M1887," ",I1888," ",N1888,M1888," ",I1889," ",N1889,M1889," ")</f>
        <v xml:space="preserve">Демонтаж опор 19шт Установка опор 15шт  Установка укоса 1шт Устройство повторного заземления 3шт Устройство заземляющего спуска 3шт Демонтаж провода (по трассе) 0,615км Монтаж провода (по трассе) 0,615км Замена ответвлений к зданиям 32шт Переустановка ПУ с дер.опор на ж/б опоры 35шт </v>
      </c>
      <c r="J1880" s="489" t="s">
        <v>365</v>
      </c>
      <c r="K1880" s="450">
        <v>44440</v>
      </c>
      <c r="L1880" s="474">
        <v>44500</v>
      </c>
      <c r="M1880" s="490"/>
      <c r="N1880" s="490"/>
    </row>
    <row r="1881" spans="1:14" hidden="1" outlineLevel="2">
      <c r="A1881" s="412"/>
      <c r="B1881" s="452" t="s">
        <v>301</v>
      </c>
      <c r="C1881" s="455" t="s">
        <v>47</v>
      </c>
      <c r="D1881" s="398" t="s">
        <v>1830</v>
      </c>
      <c r="E1881" s="385"/>
      <c r="F1881" s="400"/>
      <c r="G1881" s="385"/>
      <c r="H1881" s="401"/>
      <c r="I1881" s="385" t="s">
        <v>112</v>
      </c>
      <c r="J1881" s="489"/>
      <c r="K1881" s="450"/>
      <c r="L1881" s="450"/>
      <c r="M1881" s="490" t="s">
        <v>813</v>
      </c>
      <c r="N1881" s="490">
        <v>19</v>
      </c>
    </row>
    <row r="1882" spans="1:14" hidden="1" outlineLevel="2">
      <c r="A1882" s="412"/>
      <c r="B1882" s="452" t="s">
        <v>301</v>
      </c>
      <c r="C1882" s="455" t="s">
        <v>47</v>
      </c>
      <c r="D1882" s="398" t="s">
        <v>1830</v>
      </c>
      <c r="E1882" s="385"/>
      <c r="F1882" s="400"/>
      <c r="G1882" s="385"/>
      <c r="H1882" s="401"/>
      <c r="I1882" s="385" t="s">
        <v>123</v>
      </c>
      <c r="J1882" s="489"/>
      <c r="K1882" s="450"/>
      <c r="L1882" s="450"/>
      <c r="M1882" s="490" t="s">
        <v>813</v>
      </c>
      <c r="N1882" s="490">
        <v>15</v>
      </c>
    </row>
    <row r="1883" spans="1:14" hidden="1" outlineLevel="2">
      <c r="A1883" s="412"/>
      <c r="B1883" s="452" t="s">
        <v>301</v>
      </c>
      <c r="C1883" s="455" t="s">
        <v>47</v>
      </c>
      <c r="D1883" s="398" t="s">
        <v>1830</v>
      </c>
      <c r="E1883" s="385"/>
      <c r="F1883" s="400"/>
      <c r="G1883" s="385"/>
      <c r="H1883" s="401"/>
      <c r="I1883" s="385" t="s">
        <v>103</v>
      </c>
      <c r="J1883" s="489"/>
      <c r="K1883" s="450"/>
      <c r="L1883" s="450"/>
      <c r="M1883" s="490" t="s">
        <v>813</v>
      </c>
      <c r="N1883" s="490">
        <v>1</v>
      </c>
    </row>
    <row r="1884" spans="1:14" hidden="1" outlineLevel="2">
      <c r="A1884" s="412"/>
      <c r="B1884" s="452" t="s">
        <v>301</v>
      </c>
      <c r="C1884" s="455" t="s">
        <v>47</v>
      </c>
      <c r="D1884" s="398" t="s">
        <v>1830</v>
      </c>
      <c r="E1884" s="385"/>
      <c r="F1884" s="400"/>
      <c r="G1884" s="385"/>
      <c r="H1884" s="401"/>
      <c r="I1884" s="402" t="s">
        <v>2416</v>
      </c>
      <c r="J1884" s="489"/>
      <c r="K1884" s="450"/>
      <c r="L1884" s="450"/>
      <c r="M1884" s="490" t="s">
        <v>813</v>
      </c>
      <c r="N1884" s="490">
        <v>3</v>
      </c>
    </row>
    <row r="1885" spans="1:14" hidden="1" outlineLevel="2">
      <c r="A1885" s="412"/>
      <c r="B1885" s="452" t="s">
        <v>301</v>
      </c>
      <c r="C1885" s="455" t="s">
        <v>47</v>
      </c>
      <c r="D1885" s="398" t="s">
        <v>1830</v>
      </c>
      <c r="E1885" s="385"/>
      <c r="F1885" s="400"/>
      <c r="G1885" s="385"/>
      <c r="H1885" s="401"/>
      <c r="I1885" s="402" t="s">
        <v>2437</v>
      </c>
      <c r="J1885" s="489"/>
      <c r="K1885" s="450"/>
      <c r="L1885" s="450"/>
      <c r="M1885" s="490" t="s">
        <v>813</v>
      </c>
      <c r="N1885" s="490">
        <v>3</v>
      </c>
    </row>
    <row r="1886" spans="1:14" hidden="1" outlineLevel="2">
      <c r="A1886" s="412"/>
      <c r="B1886" s="452" t="s">
        <v>301</v>
      </c>
      <c r="C1886" s="455" t="s">
        <v>47</v>
      </c>
      <c r="D1886" s="398" t="s">
        <v>1830</v>
      </c>
      <c r="E1886" s="385"/>
      <c r="F1886" s="400"/>
      <c r="G1886" s="385"/>
      <c r="H1886" s="401"/>
      <c r="I1886" s="385" t="s">
        <v>126</v>
      </c>
      <c r="J1886" s="489"/>
      <c r="K1886" s="450"/>
      <c r="L1886" s="450"/>
      <c r="M1886" s="490" t="s">
        <v>308</v>
      </c>
      <c r="N1886" s="490">
        <v>0.61499999999999999</v>
      </c>
    </row>
    <row r="1887" spans="1:14" hidden="1" outlineLevel="2">
      <c r="A1887" s="412"/>
      <c r="B1887" s="452" t="s">
        <v>301</v>
      </c>
      <c r="C1887" s="455" t="s">
        <v>47</v>
      </c>
      <c r="D1887" s="398" t="s">
        <v>1830</v>
      </c>
      <c r="E1887" s="385"/>
      <c r="F1887" s="400"/>
      <c r="G1887" s="385"/>
      <c r="H1887" s="401"/>
      <c r="I1887" s="385" t="s">
        <v>40</v>
      </c>
      <c r="J1887" s="489"/>
      <c r="K1887" s="450"/>
      <c r="L1887" s="450"/>
      <c r="M1887" s="490" t="s">
        <v>308</v>
      </c>
      <c r="N1887" s="490">
        <v>0.61499999999999999</v>
      </c>
    </row>
    <row r="1888" spans="1:14" hidden="1" outlineLevel="2">
      <c r="A1888" s="412"/>
      <c r="B1888" s="452" t="s">
        <v>301</v>
      </c>
      <c r="C1888" s="455" t="s">
        <v>47</v>
      </c>
      <c r="D1888" s="398" t="s">
        <v>1830</v>
      </c>
      <c r="E1888" s="385"/>
      <c r="F1888" s="400"/>
      <c r="G1888" s="385"/>
      <c r="H1888" s="401"/>
      <c r="I1888" s="402" t="s">
        <v>42</v>
      </c>
      <c r="J1888" s="489"/>
      <c r="K1888" s="450"/>
      <c r="L1888" s="450"/>
      <c r="M1888" s="490" t="s">
        <v>813</v>
      </c>
      <c r="N1888" s="490">
        <v>32</v>
      </c>
    </row>
    <row r="1889" spans="1:14" hidden="1" outlineLevel="2">
      <c r="A1889" s="412"/>
      <c r="B1889" s="452" t="s">
        <v>301</v>
      </c>
      <c r="C1889" s="455" t="s">
        <v>47</v>
      </c>
      <c r="D1889" s="398" t="s">
        <v>1830</v>
      </c>
      <c r="E1889" s="385"/>
      <c r="F1889" s="400"/>
      <c r="G1889" s="385"/>
      <c r="H1889" s="401"/>
      <c r="I1889" s="402" t="s">
        <v>2443</v>
      </c>
      <c r="J1889" s="489"/>
      <c r="K1889" s="450"/>
      <c r="L1889" s="450"/>
      <c r="M1889" s="490" t="s">
        <v>813</v>
      </c>
      <c r="N1889" s="490">
        <v>35</v>
      </c>
    </row>
    <row r="1890" spans="1:14" s="384" customFormat="1" ht="229.5" customHeight="1" outlineLevel="1" collapsed="1">
      <c r="A1890" s="412" t="s">
        <v>2444</v>
      </c>
      <c r="B1890" s="452" t="s">
        <v>301</v>
      </c>
      <c r="C1890" s="398" t="s">
        <v>47</v>
      </c>
      <c r="D1890" s="398" t="s">
        <v>1830</v>
      </c>
      <c r="E1890" s="490" t="s">
        <v>2402</v>
      </c>
      <c r="F1890" s="385" t="s">
        <v>2396</v>
      </c>
      <c r="G1890" s="385" t="s">
        <v>2435</v>
      </c>
      <c r="H1890" s="401" t="s">
        <v>2450</v>
      </c>
      <c r="I1890" s="385" t="str">
        <f>CONCATENATE(I1891," ",N1891,M1891," ",I1892," ",N1892,M1892," "," ",I1893," ",N1893,M1893," ",I1894," ",N1894,M1894," ",I1895," ",N1895,M1895," ",I1896," ",N1896,M1896," ",I1897," ",N1897,M1897," ",I1898," ",N1898,M1898," ",I1899," ",N1899,M1899," ")</f>
        <v xml:space="preserve">Демонтаж опор 1шт Установка опор 5шт  Установка укоса 2шт Устройство повторного заземления 2шт Устройство заземляющего спуска 2шт Демонтаж провода (по трассе) 0,47км Монтаж провода (по трассе) 0,47км Замена ответвлений к зданиям 4шт Переустановка ПУ с дер.опор на ж/б опоры 4шт </v>
      </c>
      <c r="J1890" s="489" t="s">
        <v>365</v>
      </c>
      <c r="K1890" s="450">
        <v>44440</v>
      </c>
      <c r="L1890" s="474">
        <v>44500</v>
      </c>
      <c r="M1890" s="490"/>
      <c r="N1890" s="490"/>
    </row>
    <row r="1891" spans="1:14" hidden="1" outlineLevel="2">
      <c r="A1891" s="412"/>
      <c r="B1891" s="452" t="s">
        <v>301</v>
      </c>
      <c r="C1891" s="455" t="s">
        <v>47</v>
      </c>
      <c r="D1891" s="398" t="s">
        <v>1830</v>
      </c>
      <c r="E1891" s="385"/>
      <c r="F1891" s="400"/>
      <c r="G1891" s="385"/>
      <c r="H1891" s="401"/>
      <c r="I1891" s="385" t="s">
        <v>112</v>
      </c>
      <c r="J1891" s="489"/>
      <c r="K1891" s="450"/>
      <c r="L1891" s="450"/>
      <c r="M1891" s="490" t="s">
        <v>813</v>
      </c>
      <c r="N1891" s="490">
        <v>1</v>
      </c>
    </row>
    <row r="1892" spans="1:14" hidden="1" outlineLevel="2">
      <c r="A1892" s="412"/>
      <c r="B1892" s="452" t="s">
        <v>301</v>
      </c>
      <c r="C1892" s="455" t="s">
        <v>47</v>
      </c>
      <c r="D1892" s="398" t="s">
        <v>1830</v>
      </c>
      <c r="E1892" s="385"/>
      <c r="F1892" s="400"/>
      <c r="G1892" s="385"/>
      <c r="H1892" s="401"/>
      <c r="I1892" s="385" t="s">
        <v>123</v>
      </c>
      <c r="J1892" s="489"/>
      <c r="K1892" s="450"/>
      <c r="L1892" s="450"/>
      <c r="M1892" s="490" t="s">
        <v>813</v>
      </c>
      <c r="N1892" s="490">
        <v>5</v>
      </c>
    </row>
    <row r="1893" spans="1:14" hidden="1" outlineLevel="2">
      <c r="A1893" s="412"/>
      <c r="B1893" s="452" t="s">
        <v>301</v>
      </c>
      <c r="C1893" s="455" t="s">
        <v>47</v>
      </c>
      <c r="D1893" s="398" t="s">
        <v>1830</v>
      </c>
      <c r="E1893" s="385"/>
      <c r="F1893" s="400"/>
      <c r="G1893" s="385"/>
      <c r="H1893" s="401"/>
      <c r="I1893" s="385" t="s">
        <v>103</v>
      </c>
      <c r="J1893" s="489"/>
      <c r="K1893" s="450"/>
      <c r="L1893" s="450"/>
      <c r="M1893" s="490" t="s">
        <v>813</v>
      </c>
      <c r="N1893" s="490">
        <v>2</v>
      </c>
    </row>
    <row r="1894" spans="1:14" hidden="1" outlineLevel="2">
      <c r="A1894" s="412"/>
      <c r="B1894" s="452" t="s">
        <v>301</v>
      </c>
      <c r="C1894" s="455" t="s">
        <v>47</v>
      </c>
      <c r="D1894" s="398" t="s">
        <v>1830</v>
      </c>
      <c r="E1894" s="385"/>
      <c r="F1894" s="400"/>
      <c r="G1894" s="385"/>
      <c r="H1894" s="401"/>
      <c r="I1894" s="402" t="s">
        <v>2416</v>
      </c>
      <c r="J1894" s="489"/>
      <c r="K1894" s="450"/>
      <c r="L1894" s="450"/>
      <c r="M1894" s="490" t="s">
        <v>813</v>
      </c>
      <c r="N1894" s="490">
        <v>2</v>
      </c>
    </row>
    <row r="1895" spans="1:14" hidden="1" outlineLevel="2">
      <c r="A1895" s="412"/>
      <c r="B1895" s="452" t="s">
        <v>301</v>
      </c>
      <c r="C1895" s="455" t="s">
        <v>47</v>
      </c>
      <c r="D1895" s="398" t="s">
        <v>1830</v>
      </c>
      <c r="E1895" s="385"/>
      <c r="F1895" s="400"/>
      <c r="G1895" s="385"/>
      <c r="H1895" s="401"/>
      <c r="I1895" s="402" t="s">
        <v>2437</v>
      </c>
      <c r="J1895" s="489"/>
      <c r="K1895" s="450"/>
      <c r="L1895" s="450"/>
      <c r="M1895" s="490" t="s">
        <v>813</v>
      </c>
      <c r="N1895" s="490">
        <v>2</v>
      </c>
    </row>
    <row r="1896" spans="1:14" hidden="1" outlineLevel="2">
      <c r="A1896" s="412"/>
      <c r="B1896" s="452" t="s">
        <v>301</v>
      </c>
      <c r="C1896" s="455" t="s">
        <v>47</v>
      </c>
      <c r="D1896" s="398" t="s">
        <v>1830</v>
      </c>
      <c r="E1896" s="385"/>
      <c r="F1896" s="400"/>
      <c r="G1896" s="385"/>
      <c r="H1896" s="401"/>
      <c r="I1896" s="385" t="s">
        <v>126</v>
      </c>
      <c r="J1896" s="489"/>
      <c r="K1896" s="450"/>
      <c r="L1896" s="450"/>
      <c r="M1896" s="490" t="s">
        <v>308</v>
      </c>
      <c r="N1896" s="490">
        <v>0.47</v>
      </c>
    </row>
    <row r="1897" spans="1:14" hidden="1" outlineLevel="2">
      <c r="A1897" s="412"/>
      <c r="B1897" s="452" t="s">
        <v>301</v>
      </c>
      <c r="C1897" s="455" t="s">
        <v>47</v>
      </c>
      <c r="D1897" s="398" t="s">
        <v>1830</v>
      </c>
      <c r="E1897" s="385"/>
      <c r="F1897" s="400"/>
      <c r="G1897" s="385"/>
      <c r="H1897" s="401"/>
      <c r="I1897" s="385" t="s">
        <v>40</v>
      </c>
      <c r="J1897" s="489"/>
      <c r="K1897" s="450"/>
      <c r="L1897" s="450"/>
      <c r="M1897" s="490" t="s">
        <v>308</v>
      </c>
      <c r="N1897" s="490">
        <v>0.47</v>
      </c>
    </row>
    <row r="1898" spans="1:14" hidden="1" outlineLevel="2">
      <c r="A1898" s="412"/>
      <c r="B1898" s="452" t="s">
        <v>301</v>
      </c>
      <c r="C1898" s="455" t="s">
        <v>47</v>
      </c>
      <c r="D1898" s="398" t="s">
        <v>1830</v>
      </c>
      <c r="E1898" s="385"/>
      <c r="F1898" s="400"/>
      <c r="G1898" s="385"/>
      <c r="H1898" s="401"/>
      <c r="I1898" s="402" t="s">
        <v>42</v>
      </c>
      <c r="J1898" s="489"/>
      <c r="K1898" s="450"/>
      <c r="L1898" s="450"/>
      <c r="M1898" s="490" t="s">
        <v>813</v>
      </c>
      <c r="N1898" s="490">
        <v>4</v>
      </c>
    </row>
    <row r="1899" spans="1:14" hidden="1" outlineLevel="2">
      <c r="A1899" s="412"/>
      <c r="B1899" s="452" t="s">
        <v>301</v>
      </c>
      <c r="C1899" s="455" t="s">
        <v>47</v>
      </c>
      <c r="D1899" s="398" t="s">
        <v>1830</v>
      </c>
      <c r="E1899" s="385"/>
      <c r="F1899" s="400"/>
      <c r="G1899" s="385"/>
      <c r="H1899" s="401"/>
      <c r="I1899" s="402" t="s">
        <v>2443</v>
      </c>
      <c r="J1899" s="489"/>
      <c r="K1899" s="450"/>
      <c r="L1899" s="450"/>
      <c r="M1899" s="490" t="s">
        <v>813</v>
      </c>
      <c r="N1899" s="490">
        <v>4</v>
      </c>
    </row>
    <row r="1900" spans="1:14" s="384" customFormat="1" ht="242.25" customHeight="1" outlineLevel="1" collapsed="1">
      <c r="A1900" s="412" t="s">
        <v>2446</v>
      </c>
      <c r="B1900" s="452" t="s">
        <v>301</v>
      </c>
      <c r="C1900" s="398" t="s">
        <v>47</v>
      </c>
      <c r="D1900" s="398" t="s">
        <v>1830</v>
      </c>
      <c r="E1900" s="490" t="s">
        <v>2402</v>
      </c>
      <c r="F1900" s="385" t="s">
        <v>2396</v>
      </c>
      <c r="G1900" s="385" t="s">
        <v>2435</v>
      </c>
      <c r="H1900" s="401" t="s">
        <v>2452</v>
      </c>
      <c r="I1900" s="385" t="str">
        <f>CONCATENATE(I1901," ",N1901,M1901," ",I1902," ",N1902,M1902," "," ",I1903," ",N1903,M1903," ",I1904," ",N1904,M1904," ",I1905," ",N1905,M1905," ",I1906," ",N1906,M1906," ",I1907," ",N1907,M1907," ",I1908," ",N1908,M1908," ",I1909," ",N1909,M1909," ")</f>
        <v xml:space="preserve">Демонтаж опор 26шт Установка опор 30шт  Установка укоса 2шт Устройство повторного заземления 4шт Устройство заземляющего спуска 4шт Демонтаж провода (по трассе) 1,165км Монтаж провода (по трассе) 1,165км Замена ответвлений к зданиям 39шт Переустановка ПУ с дер.опор на ж/б опоры 39шт </v>
      </c>
      <c r="J1900" s="489" t="s">
        <v>365</v>
      </c>
      <c r="K1900" s="450">
        <v>44440</v>
      </c>
      <c r="L1900" s="474">
        <v>44500</v>
      </c>
      <c r="M1900" s="490"/>
      <c r="N1900" s="490"/>
    </row>
    <row r="1901" spans="1:14" hidden="1" outlineLevel="2">
      <c r="A1901" s="412"/>
      <c r="B1901" s="452" t="s">
        <v>301</v>
      </c>
      <c r="C1901" s="455" t="s">
        <v>47</v>
      </c>
      <c r="D1901" s="398" t="s">
        <v>1830</v>
      </c>
      <c r="E1901" s="385"/>
      <c r="F1901" s="400"/>
      <c r="G1901" s="385"/>
      <c r="H1901" s="401"/>
      <c r="I1901" s="385" t="s">
        <v>112</v>
      </c>
      <c r="J1901" s="489"/>
      <c r="K1901" s="450"/>
      <c r="L1901" s="450"/>
      <c r="M1901" s="490" t="s">
        <v>813</v>
      </c>
      <c r="N1901" s="490">
        <v>26</v>
      </c>
    </row>
    <row r="1902" spans="1:14" hidden="1" outlineLevel="2">
      <c r="A1902" s="412"/>
      <c r="B1902" s="452" t="s">
        <v>301</v>
      </c>
      <c r="C1902" s="455" t="s">
        <v>47</v>
      </c>
      <c r="D1902" s="398" t="s">
        <v>1830</v>
      </c>
      <c r="E1902" s="385"/>
      <c r="F1902" s="400"/>
      <c r="G1902" s="385"/>
      <c r="H1902" s="401"/>
      <c r="I1902" s="385" t="s">
        <v>123</v>
      </c>
      <c r="J1902" s="489"/>
      <c r="K1902" s="450"/>
      <c r="L1902" s="450"/>
      <c r="M1902" s="490" t="s">
        <v>813</v>
      </c>
      <c r="N1902" s="490">
        <v>30</v>
      </c>
    </row>
    <row r="1903" spans="1:14" hidden="1" outlineLevel="2">
      <c r="A1903" s="412"/>
      <c r="B1903" s="452" t="s">
        <v>301</v>
      </c>
      <c r="C1903" s="455" t="s">
        <v>47</v>
      </c>
      <c r="D1903" s="398" t="s">
        <v>1830</v>
      </c>
      <c r="E1903" s="385"/>
      <c r="F1903" s="400"/>
      <c r="G1903" s="385"/>
      <c r="H1903" s="401"/>
      <c r="I1903" s="385" t="s">
        <v>103</v>
      </c>
      <c r="J1903" s="489"/>
      <c r="K1903" s="450"/>
      <c r="L1903" s="450"/>
      <c r="M1903" s="490" t="s">
        <v>813</v>
      </c>
      <c r="N1903" s="490">
        <v>2</v>
      </c>
    </row>
    <row r="1904" spans="1:14" hidden="1" outlineLevel="2">
      <c r="A1904" s="412"/>
      <c r="B1904" s="452" t="s">
        <v>301</v>
      </c>
      <c r="C1904" s="455" t="s">
        <v>47</v>
      </c>
      <c r="D1904" s="398" t="s">
        <v>1830</v>
      </c>
      <c r="E1904" s="385"/>
      <c r="F1904" s="400"/>
      <c r="G1904" s="385"/>
      <c r="H1904" s="401"/>
      <c r="I1904" s="402" t="s">
        <v>2416</v>
      </c>
      <c r="J1904" s="489"/>
      <c r="K1904" s="450"/>
      <c r="L1904" s="450"/>
      <c r="M1904" s="490" t="s">
        <v>813</v>
      </c>
      <c r="N1904" s="490">
        <v>4</v>
      </c>
    </row>
    <row r="1905" spans="1:14" hidden="1" outlineLevel="2">
      <c r="A1905" s="412"/>
      <c r="B1905" s="452" t="s">
        <v>301</v>
      </c>
      <c r="C1905" s="455" t="s">
        <v>47</v>
      </c>
      <c r="D1905" s="398" t="s">
        <v>1830</v>
      </c>
      <c r="E1905" s="385"/>
      <c r="F1905" s="400"/>
      <c r="G1905" s="385"/>
      <c r="H1905" s="401"/>
      <c r="I1905" s="402" t="s">
        <v>2437</v>
      </c>
      <c r="J1905" s="489"/>
      <c r="K1905" s="450"/>
      <c r="L1905" s="450"/>
      <c r="M1905" s="490" t="s">
        <v>813</v>
      </c>
      <c r="N1905" s="490">
        <v>4</v>
      </c>
    </row>
    <row r="1906" spans="1:14" hidden="1" outlineLevel="2">
      <c r="A1906" s="412"/>
      <c r="B1906" s="452" t="s">
        <v>301</v>
      </c>
      <c r="C1906" s="455" t="s">
        <v>47</v>
      </c>
      <c r="D1906" s="398" t="s">
        <v>1830</v>
      </c>
      <c r="E1906" s="385"/>
      <c r="F1906" s="400"/>
      <c r="G1906" s="385"/>
      <c r="H1906" s="401"/>
      <c r="I1906" s="385" t="s">
        <v>126</v>
      </c>
      <c r="J1906" s="489"/>
      <c r="K1906" s="450"/>
      <c r="L1906" s="450"/>
      <c r="M1906" s="490" t="s">
        <v>308</v>
      </c>
      <c r="N1906" s="490">
        <v>1.165</v>
      </c>
    </row>
    <row r="1907" spans="1:14" hidden="1" outlineLevel="2">
      <c r="A1907" s="412"/>
      <c r="B1907" s="452" t="s">
        <v>301</v>
      </c>
      <c r="C1907" s="455" t="s">
        <v>47</v>
      </c>
      <c r="D1907" s="398" t="s">
        <v>1830</v>
      </c>
      <c r="E1907" s="385"/>
      <c r="F1907" s="400"/>
      <c r="G1907" s="385"/>
      <c r="H1907" s="401"/>
      <c r="I1907" s="385" t="s">
        <v>40</v>
      </c>
      <c r="J1907" s="489"/>
      <c r="K1907" s="450"/>
      <c r="L1907" s="450"/>
      <c r="M1907" s="490" t="s">
        <v>308</v>
      </c>
      <c r="N1907" s="490">
        <v>1.165</v>
      </c>
    </row>
    <row r="1908" spans="1:14" hidden="1" outlineLevel="2">
      <c r="A1908" s="412"/>
      <c r="B1908" s="452" t="s">
        <v>301</v>
      </c>
      <c r="C1908" s="455" t="s">
        <v>47</v>
      </c>
      <c r="D1908" s="398" t="s">
        <v>1830</v>
      </c>
      <c r="E1908" s="385"/>
      <c r="F1908" s="400"/>
      <c r="G1908" s="385"/>
      <c r="H1908" s="401"/>
      <c r="I1908" s="402" t="s">
        <v>42</v>
      </c>
      <c r="J1908" s="489"/>
      <c r="K1908" s="450"/>
      <c r="L1908" s="450"/>
      <c r="M1908" s="490" t="s">
        <v>813</v>
      </c>
      <c r="N1908" s="490">
        <v>39</v>
      </c>
    </row>
    <row r="1909" spans="1:14" hidden="1" outlineLevel="2">
      <c r="A1909" s="412"/>
      <c r="B1909" s="452" t="s">
        <v>301</v>
      </c>
      <c r="C1909" s="455" t="s">
        <v>47</v>
      </c>
      <c r="D1909" s="398" t="s">
        <v>1830</v>
      </c>
      <c r="E1909" s="385"/>
      <c r="F1909" s="400"/>
      <c r="G1909" s="385"/>
      <c r="H1909" s="401"/>
      <c r="I1909" s="402" t="s">
        <v>2443</v>
      </c>
      <c r="J1909" s="489"/>
      <c r="K1909" s="450"/>
      <c r="L1909" s="450"/>
      <c r="M1909" s="490" t="s">
        <v>813</v>
      </c>
      <c r="N1909" s="490">
        <v>39</v>
      </c>
    </row>
    <row r="1910" spans="1:14" s="384" customFormat="1" ht="233.25" customHeight="1" outlineLevel="1" collapsed="1">
      <c r="A1910" s="412" t="s">
        <v>2449</v>
      </c>
      <c r="B1910" s="452" t="s">
        <v>301</v>
      </c>
      <c r="C1910" s="398" t="s">
        <v>47</v>
      </c>
      <c r="D1910" s="398" t="s">
        <v>1830</v>
      </c>
      <c r="E1910" s="490" t="s">
        <v>2454</v>
      </c>
      <c r="F1910" s="385" t="s">
        <v>2396</v>
      </c>
      <c r="G1910" s="385" t="s">
        <v>2435</v>
      </c>
      <c r="H1910" s="401" t="s">
        <v>2455</v>
      </c>
      <c r="I1910" s="385" t="str">
        <f>CONCATENATE(I1911," ",N1911,M1911," ",I1912," ",N1912,M1912," "," ",I1913," ",N1913,M1913," ",I1914," ",N1914,M1914," ",I1915," ",N1915,M1915," ",I1916," ",N1916,M1916," ",I1917," ",N1917,M1917,"",I1918," ",N1918,M1918," ",I1919," ",N1919,M1919,," ",I1920,"",N1920,M1920," ",I1921," ",N1921,M1921," ",I1922," ",N1922,M1922," ")</f>
        <v xml:space="preserve">Демонтаж опор 18шт Установка опор 21шт  Установка укоса 3шт Устройство повторного заземления 3шт Устройство заземляющего спуска 3шт Демонтаж провода (по трассе) 0,66км Монтаж провода (по трассе) 0,66кмУстройство ввода в КТП 1шт Монтаж кабеля 15м Монтаж муфт2шт Замена ответвлений к зданиям 22шт Переустановка ПУ с дер.опор на ж/б опоры 22шт </v>
      </c>
      <c r="J1910" s="489" t="s">
        <v>365</v>
      </c>
      <c r="K1910" s="450">
        <v>44378</v>
      </c>
      <c r="L1910" s="474">
        <v>44439</v>
      </c>
      <c r="M1910" s="490"/>
      <c r="N1910" s="490"/>
    </row>
    <row r="1911" spans="1:14" hidden="1" outlineLevel="2">
      <c r="A1911" s="412"/>
      <c r="B1911" s="452" t="s">
        <v>301</v>
      </c>
      <c r="C1911" s="455" t="s">
        <v>47</v>
      </c>
      <c r="D1911" s="398" t="s">
        <v>1830</v>
      </c>
      <c r="E1911" s="385"/>
      <c r="F1911" s="400"/>
      <c r="G1911" s="385"/>
      <c r="H1911" s="401"/>
      <c r="I1911" s="385" t="s">
        <v>112</v>
      </c>
      <c r="J1911" s="489"/>
      <c r="K1911" s="450"/>
      <c r="L1911" s="450"/>
      <c r="M1911" s="490" t="s">
        <v>813</v>
      </c>
      <c r="N1911" s="490">
        <v>18</v>
      </c>
    </row>
    <row r="1912" spans="1:14" hidden="1" outlineLevel="2">
      <c r="A1912" s="412"/>
      <c r="B1912" s="452" t="s">
        <v>301</v>
      </c>
      <c r="C1912" s="455" t="s">
        <v>47</v>
      </c>
      <c r="D1912" s="398" t="s">
        <v>1830</v>
      </c>
      <c r="E1912" s="385"/>
      <c r="F1912" s="400"/>
      <c r="G1912" s="385"/>
      <c r="H1912" s="401"/>
      <c r="I1912" s="385" t="s">
        <v>123</v>
      </c>
      <c r="J1912" s="489"/>
      <c r="K1912" s="450"/>
      <c r="L1912" s="450"/>
      <c r="M1912" s="490" t="s">
        <v>813</v>
      </c>
      <c r="N1912" s="490">
        <v>21</v>
      </c>
    </row>
    <row r="1913" spans="1:14" hidden="1" outlineLevel="2">
      <c r="A1913" s="412"/>
      <c r="B1913" s="452" t="s">
        <v>301</v>
      </c>
      <c r="C1913" s="455" t="s">
        <v>47</v>
      </c>
      <c r="D1913" s="398" t="s">
        <v>1830</v>
      </c>
      <c r="E1913" s="385"/>
      <c r="F1913" s="400"/>
      <c r="G1913" s="385"/>
      <c r="H1913" s="401"/>
      <c r="I1913" s="385" t="s">
        <v>103</v>
      </c>
      <c r="J1913" s="489"/>
      <c r="K1913" s="450"/>
      <c r="L1913" s="450"/>
      <c r="M1913" s="490" t="s">
        <v>813</v>
      </c>
      <c r="N1913" s="490">
        <v>3</v>
      </c>
    </row>
    <row r="1914" spans="1:14" hidden="1" outlineLevel="2">
      <c r="A1914" s="412"/>
      <c r="B1914" s="452" t="s">
        <v>301</v>
      </c>
      <c r="C1914" s="455" t="s">
        <v>47</v>
      </c>
      <c r="D1914" s="398" t="s">
        <v>1830</v>
      </c>
      <c r="E1914" s="385"/>
      <c r="F1914" s="400"/>
      <c r="G1914" s="385"/>
      <c r="H1914" s="401"/>
      <c r="I1914" s="402" t="s">
        <v>2416</v>
      </c>
      <c r="J1914" s="489"/>
      <c r="K1914" s="450"/>
      <c r="L1914" s="450"/>
      <c r="M1914" s="490" t="s">
        <v>813</v>
      </c>
      <c r="N1914" s="490">
        <v>3</v>
      </c>
    </row>
    <row r="1915" spans="1:14" hidden="1" outlineLevel="2">
      <c r="A1915" s="412"/>
      <c r="B1915" s="452" t="s">
        <v>301</v>
      </c>
      <c r="C1915" s="455" t="s">
        <v>47</v>
      </c>
      <c r="D1915" s="398" t="s">
        <v>1830</v>
      </c>
      <c r="E1915" s="385"/>
      <c r="F1915" s="400"/>
      <c r="G1915" s="385"/>
      <c r="H1915" s="401"/>
      <c r="I1915" s="402" t="s">
        <v>2437</v>
      </c>
      <c r="J1915" s="489"/>
      <c r="K1915" s="450"/>
      <c r="L1915" s="450"/>
      <c r="M1915" s="490" t="s">
        <v>813</v>
      </c>
      <c r="N1915" s="490">
        <v>3</v>
      </c>
    </row>
    <row r="1916" spans="1:14" hidden="1" outlineLevel="2">
      <c r="A1916" s="412"/>
      <c r="B1916" s="452" t="s">
        <v>301</v>
      </c>
      <c r="C1916" s="455" t="s">
        <v>47</v>
      </c>
      <c r="D1916" s="398" t="s">
        <v>1830</v>
      </c>
      <c r="E1916" s="385"/>
      <c r="F1916" s="400"/>
      <c r="G1916" s="385"/>
      <c r="H1916" s="401"/>
      <c r="I1916" s="385" t="s">
        <v>126</v>
      </c>
      <c r="J1916" s="489"/>
      <c r="K1916" s="450"/>
      <c r="L1916" s="450"/>
      <c r="M1916" s="490" t="s">
        <v>308</v>
      </c>
      <c r="N1916" s="490">
        <v>0.66</v>
      </c>
    </row>
    <row r="1917" spans="1:14" hidden="1" outlineLevel="2">
      <c r="A1917" s="412"/>
      <c r="B1917" s="452" t="s">
        <v>301</v>
      </c>
      <c r="C1917" s="455" t="s">
        <v>47</v>
      </c>
      <c r="D1917" s="398" t="s">
        <v>1830</v>
      </c>
      <c r="E1917" s="385"/>
      <c r="F1917" s="400"/>
      <c r="G1917" s="385"/>
      <c r="H1917" s="401"/>
      <c r="I1917" s="385" t="s">
        <v>40</v>
      </c>
      <c r="J1917" s="489"/>
      <c r="K1917" s="450"/>
      <c r="L1917" s="450"/>
      <c r="M1917" s="490" t="s">
        <v>308</v>
      </c>
      <c r="N1917" s="490">
        <v>0.66</v>
      </c>
    </row>
    <row r="1918" spans="1:14" hidden="1" outlineLevel="2">
      <c r="A1918" s="412"/>
      <c r="B1918" s="452" t="s">
        <v>301</v>
      </c>
      <c r="C1918" s="455" t="s">
        <v>47</v>
      </c>
      <c r="D1918" s="398" t="s">
        <v>1830</v>
      </c>
      <c r="E1918" s="385"/>
      <c r="F1918" s="400"/>
      <c r="G1918" s="385"/>
      <c r="H1918" s="401"/>
      <c r="I1918" s="402" t="s">
        <v>2438</v>
      </c>
      <c r="J1918" s="489"/>
      <c r="K1918" s="450"/>
      <c r="L1918" s="450"/>
      <c r="M1918" s="490" t="s">
        <v>813</v>
      </c>
      <c r="N1918" s="490">
        <v>1</v>
      </c>
    </row>
    <row r="1919" spans="1:14" hidden="1" outlineLevel="2">
      <c r="A1919" s="412"/>
      <c r="B1919" s="452" t="s">
        <v>301</v>
      </c>
      <c r="C1919" s="455" t="s">
        <v>47</v>
      </c>
      <c r="D1919" s="398" t="s">
        <v>1830</v>
      </c>
      <c r="E1919" s="385"/>
      <c r="F1919" s="400"/>
      <c r="G1919" s="385"/>
      <c r="H1919" s="401"/>
      <c r="I1919" s="385" t="s">
        <v>193</v>
      </c>
      <c r="J1919" s="489"/>
      <c r="K1919" s="450"/>
      <c r="L1919" s="450"/>
      <c r="M1919" s="490" t="s">
        <v>1064</v>
      </c>
      <c r="N1919" s="490">
        <v>15</v>
      </c>
    </row>
    <row r="1920" spans="1:14" hidden="1" outlineLevel="2">
      <c r="A1920" s="412"/>
      <c r="B1920" s="452" t="s">
        <v>301</v>
      </c>
      <c r="C1920" s="455" t="s">
        <v>47</v>
      </c>
      <c r="D1920" s="398" t="s">
        <v>1830</v>
      </c>
      <c r="E1920" s="385"/>
      <c r="F1920" s="400"/>
      <c r="G1920" s="385"/>
      <c r="H1920" s="401"/>
      <c r="I1920" s="385" t="s">
        <v>198</v>
      </c>
      <c r="J1920" s="489"/>
      <c r="K1920" s="450"/>
      <c r="L1920" s="450"/>
      <c r="M1920" s="490" t="s">
        <v>813</v>
      </c>
      <c r="N1920" s="490">
        <v>2</v>
      </c>
    </row>
    <row r="1921" spans="1:14" hidden="1" outlineLevel="2">
      <c r="A1921" s="412"/>
      <c r="B1921" s="452" t="s">
        <v>301</v>
      </c>
      <c r="C1921" s="455" t="s">
        <v>47</v>
      </c>
      <c r="D1921" s="398" t="s">
        <v>1830</v>
      </c>
      <c r="E1921" s="385"/>
      <c r="F1921" s="400"/>
      <c r="G1921" s="385"/>
      <c r="H1921" s="401"/>
      <c r="I1921" s="402" t="s">
        <v>42</v>
      </c>
      <c r="J1921" s="489"/>
      <c r="K1921" s="450"/>
      <c r="L1921" s="450"/>
      <c r="M1921" s="490" t="s">
        <v>813</v>
      </c>
      <c r="N1921" s="490">
        <v>22</v>
      </c>
    </row>
    <row r="1922" spans="1:14" hidden="1" outlineLevel="2">
      <c r="A1922" s="412"/>
      <c r="B1922" s="452" t="s">
        <v>301</v>
      </c>
      <c r="C1922" s="455" t="s">
        <v>47</v>
      </c>
      <c r="D1922" s="398" t="s">
        <v>1830</v>
      </c>
      <c r="E1922" s="385"/>
      <c r="F1922" s="400"/>
      <c r="G1922" s="385"/>
      <c r="H1922" s="401"/>
      <c r="I1922" s="402" t="s">
        <v>2443</v>
      </c>
      <c r="J1922" s="489"/>
      <c r="K1922" s="450"/>
      <c r="L1922" s="450"/>
      <c r="M1922" s="490" t="s">
        <v>813</v>
      </c>
      <c r="N1922" s="490">
        <v>22</v>
      </c>
    </row>
    <row r="1923" spans="1:14" s="384" customFormat="1" ht="257.25" customHeight="1" outlineLevel="1" collapsed="1">
      <c r="A1923" s="412" t="s">
        <v>2451</v>
      </c>
      <c r="B1923" s="490" t="s">
        <v>301</v>
      </c>
      <c r="C1923" s="398" t="s">
        <v>47</v>
      </c>
      <c r="D1923" s="398" t="s">
        <v>1830</v>
      </c>
      <c r="E1923" s="490" t="s">
        <v>2454</v>
      </c>
      <c r="F1923" s="385" t="s">
        <v>2396</v>
      </c>
      <c r="G1923" s="385" t="s">
        <v>2435</v>
      </c>
      <c r="H1923" s="401" t="s">
        <v>2456</v>
      </c>
      <c r="I1923" s="385" t="str">
        <f>CONCATENATE(I1924," ",N1924,M1924," ",I1925," ",N1925,M1925," "," ",I1926," ",N1926,M1926," ",I1927," ",N1927,M1927," ",I1928," ",N1928,M1928," ",I1929," ",N1929,M1929," ",I1930," ",N1930,M1930,"",I1931," ",N1931,M1931," ",I1932," ",N1932,M1932,," ",I1933," ",N1933,M1933," ",I1934,"",N1934,M1934," ",I1935," ",N1935,M1935," ")</f>
        <v xml:space="preserve">Демонтаж опор 35шт Установка опор 33шт  Установка укоса 1шт Устройство повторного заземления 3шт Устройство заземляющего спуска 3шт Демонтаж провода (по трассе) 1,175км Монтаж провода (по трассе) 1,175кмУстройство ввода в КТП 1шт Монтаж кабеля 17м Монтаж муфт 2шт Замена ответвлений к зданиям39шт Переустановка ПУ с дер.опор на ж/б опоры 44шт </v>
      </c>
      <c r="J1923" s="489" t="s">
        <v>365</v>
      </c>
      <c r="K1923" s="450">
        <v>44409</v>
      </c>
      <c r="L1923" s="474">
        <v>44469</v>
      </c>
      <c r="M1923" s="490"/>
      <c r="N1923" s="490"/>
    </row>
    <row r="1924" spans="1:14" hidden="1" outlineLevel="2">
      <c r="A1924" s="412"/>
      <c r="B1924" s="452" t="s">
        <v>301</v>
      </c>
      <c r="C1924" s="455" t="s">
        <v>47</v>
      </c>
      <c r="D1924" s="398" t="s">
        <v>1830</v>
      </c>
      <c r="E1924" s="385"/>
      <c r="F1924" s="400"/>
      <c r="G1924" s="385"/>
      <c r="H1924" s="401"/>
      <c r="I1924" s="385" t="s">
        <v>112</v>
      </c>
      <c r="J1924" s="489"/>
      <c r="K1924" s="450"/>
      <c r="L1924" s="450"/>
      <c r="M1924" s="490" t="s">
        <v>813</v>
      </c>
      <c r="N1924" s="490">
        <v>35</v>
      </c>
    </row>
    <row r="1925" spans="1:14" hidden="1" outlineLevel="2">
      <c r="A1925" s="412"/>
      <c r="B1925" s="452" t="s">
        <v>301</v>
      </c>
      <c r="C1925" s="455" t="s">
        <v>47</v>
      </c>
      <c r="D1925" s="398" t="s">
        <v>1830</v>
      </c>
      <c r="E1925" s="385"/>
      <c r="F1925" s="400"/>
      <c r="G1925" s="385"/>
      <c r="H1925" s="401"/>
      <c r="I1925" s="385" t="s">
        <v>123</v>
      </c>
      <c r="J1925" s="489"/>
      <c r="K1925" s="450"/>
      <c r="L1925" s="450"/>
      <c r="M1925" s="490" t="s">
        <v>813</v>
      </c>
      <c r="N1925" s="490">
        <v>33</v>
      </c>
    </row>
    <row r="1926" spans="1:14" hidden="1" outlineLevel="2">
      <c r="A1926" s="412"/>
      <c r="B1926" s="452" t="s">
        <v>301</v>
      </c>
      <c r="C1926" s="455" t="s">
        <v>47</v>
      </c>
      <c r="D1926" s="398" t="s">
        <v>1830</v>
      </c>
      <c r="E1926" s="385"/>
      <c r="F1926" s="400"/>
      <c r="G1926" s="385"/>
      <c r="H1926" s="401"/>
      <c r="I1926" s="385" t="s">
        <v>103</v>
      </c>
      <c r="J1926" s="489"/>
      <c r="K1926" s="450"/>
      <c r="L1926" s="450"/>
      <c r="M1926" s="490" t="s">
        <v>813</v>
      </c>
      <c r="N1926" s="490">
        <v>1</v>
      </c>
    </row>
    <row r="1927" spans="1:14" hidden="1" outlineLevel="2">
      <c r="A1927" s="412"/>
      <c r="B1927" s="452" t="s">
        <v>301</v>
      </c>
      <c r="C1927" s="455" t="s">
        <v>47</v>
      </c>
      <c r="D1927" s="398" t="s">
        <v>1830</v>
      </c>
      <c r="E1927" s="385"/>
      <c r="F1927" s="400"/>
      <c r="G1927" s="385"/>
      <c r="H1927" s="401"/>
      <c r="I1927" s="402" t="s">
        <v>2416</v>
      </c>
      <c r="J1927" s="489"/>
      <c r="K1927" s="450"/>
      <c r="L1927" s="450"/>
      <c r="M1927" s="490" t="s">
        <v>813</v>
      </c>
      <c r="N1927" s="490">
        <v>3</v>
      </c>
    </row>
    <row r="1928" spans="1:14" hidden="1" outlineLevel="2">
      <c r="A1928" s="412"/>
      <c r="B1928" s="452" t="s">
        <v>301</v>
      </c>
      <c r="C1928" s="455" t="s">
        <v>47</v>
      </c>
      <c r="D1928" s="398" t="s">
        <v>1830</v>
      </c>
      <c r="E1928" s="385"/>
      <c r="F1928" s="400"/>
      <c r="G1928" s="385"/>
      <c r="H1928" s="401"/>
      <c r="I1928" s="402" t="s">
        <v>2437</v>
      </c>
      <c r="J1928" s="489"/>
      <c r="K1928" s="450"/>
      <c r="L1928" s="450"/>
      <c r="M1928" s="490" t="s">
        <v>813</v>
      </c>
      <c r="N1928" s="490">
        <v>3</v>
      </c>
    </row>
    <row r="1929" spans="1:14" hidden="1" outlineLevel="2">
      <c r="A1929" s="412"/>
      <c r="B1929" s="452" t="s">
        <v>301</v>
      </c>
      <c r="C1929" s="455" t="s">
        <v>47</v>
      </c>
      <c r="D1929" s="398" t="s">
        <v>1830</v>
      </c>
      <c r="E1929" s="385"/>
      <c r="F1929" s="400"/>
      <c r="G1929" s="385"/>
      <c r="H1929" s="401"/>
      <c r="I1929" s="385" t="s">
        <v>126</v>
      </c>
      <c r="J1929" s="489"/>
      <c r="K1929" s="450"/>
      <c r="L1929" s="450"/>
      <c r="M1929" s="490" t="s">
        <v>308</v>
      </c>
      <c r="N1929" s="490">
        <v>1.175</v>
      </c>
    </row>
    <row r="1930" spans="1:14" hidden="1" outlineLevel="2">
      <c r="A1930" s="412"/>
      <c r="B1930" s="452" t="s">
        <v>301</v>
      </c>
      <c r="C1930" s="455" t="s">
        <v>47</v>
      </c>
      <c r="D1930" s="398" t="s">
        <v>1830</v>
      </c>
      <c r="E1930" s="385"/>
      <c r="F1930" s="400"/>
      <c r="G1930" s="385"/>
      <c r="H1930" s="401"/>
      <c r="I1930" s="385" t="s">
        <v>40</v>
      </c>
      <c r="J1930" s="489"/>
      <c r="K1930" s="450"/>
      <c r="L1930" s="450"/>
      <c r="M1930" s="490" t="s">
        <v>308</v>
      </c>
      <c r="N1930" s="490">
        <v>1.175</v>
      </c>
    </row>
    <row r="1931" spans="1:14" hidden="1" outlineLevel="2">
      <c r="A1931" s="412"/>
      <c r="B1931" s="452" t="s">
        <v>301</v>
      </c>
      <c r="C1931" s="455" t="s">
        <v>47</v>
      </c>
      <c r="D1931" s="398" t="s">
        <v>1830</v>
      </c>
      <c r="E1931" s="385"/>
      <c r="F1931" s="400"/>
      <c r="G1931" s="385"/>
      <c r="H1931" s="401"/>
      <c r="I1931" s="402" t="s">
        <v>2438</v>
      </c>
      <c r="J1931" s="489"/>
      <c r="K1931" s="450"/>
      <c r="L1931" s="450"/>
      <c r="M1931" s="490" t="s">
        <v>813</v>
      </c>
      <c r="N1931" s="490">
        <v>1</v>
      </c>
    </row>
    <row r="1932" spans="1:14" hidden="1" outlineLevel="2">
      <c r="A1932" s="412"/>
      <c r="B1932" s="452" t="s">
        <v>301</v>
      </c>
      <c r="C1932" s="455" t="s">
        <v>47</v>
      </c>
      <c r="D1932" s="398" t="s">
        <v>1830</v>
      </c>
      <c r="E1932" s="385"/>
      <c r="F1932" s="400"/>
      <c r="G1932" s="385"/>
      <c r="H1932" s="401"/>
      <c r="I1932" s="385" t="s">
        <v>193</v>
      </c>
      <c r="J1932" s="489"/>
      <c r="K1932" s="450"/>
      <c r="L1932" s="450"/>
      <c r="M1932" s="490" t="s">
        <v>1064</v>
      </c>
      <c r="N1932" s="490">
        <v>17</v>
      </c>
    </row>
    <row r="1933" spans="1:14" hidden="1" outlineLevel="2">
      <c r="A1933" s="412"/>
      <c r="B1933" s="452" t="s">
        <v>301</v>
      </c>
      <c r="C1933" s="455" t="s">
        <v>47</v>
      </c>
      <c r="D1933" s="398" t="s">
        <v>1830</v>
      </c>
      <c r="E1933" s="385"/>
      <c r="F1933" s="400"/>
      <c r="G1933" s="385"/>
      <c r="H1933" s="401"/>
      <c r="I1933" s="385" t="s">
        <v>198</v>
      </c>
      <c r="J1933" s="489"/>
      <c r="K1933" s="450"/>
      <c r="L1933" s="450"/>
      <c r="M1933" s="490" t="s">
        <v>813</v>
      </c>
      <c r="N1933" s="490">
        <v>2</v>
      </c>
    </row>
    <row r="1934" spans="1:14" hidden="1" outlineLevel="2">
      <c r="A1934" s="412"/>
      <c r="B1934" s="452" t="s">
        <v>301</v>
      </c>
      <c r="C1934" s="455" t="s">
        <v>47</v>
      </c>
      <c r="D1934" s="398" t="s">
        <v>1830</v>
      </c>
      <c r="E1934" s="385"/>
      <c r="F1934" s="400"/>
      <c r="G1934" s="385"/>
      <c r="H1934" s="401"/>
      <c r="I1934" s="402" t="s">
        <v>42</v>
      </c>
      <c r="J1934" s="489"/>
      <c r="K1934" s="450"/>
      <c r="L1934" s="450"/>
      <c r="M1934" s="490" t="s">
        <v>813</v>
      </c>
      <c r="N1934" s="490">
        <v>39</v>
      </c>
    </row>
    <row r="1935" spans="1:14" hidden="1" outlineLevel="2">
      <c r="A1935" s="412"/>
      <c r="B1935" s="452" t="s">
        <v>301</v>
      </c>
      <c r="C1935" s="455" t="s">
        <v>47</v>
      </c>
      <c r="D1935" s="398" t="s">
        <v>1830</v>
      </c>
      <c r="E1935" s="385"/>
      <c r="F1935" s="400"/>
      <c r="G1935" s="385"/>
      <c r="H1935" s="401"/>
      <c r="I1935" s="402" t="s">
        <v>2443</v>
      </c>
      <c r="J1935" s="489"/>
      <c r="K1935" s="450"/>
      <c r="L1935" s="450"/>
      <c r="M1935" s="490" t="s">
        <v>813</v>
      </c>
      <c r="N1935" s="490">
        <v>44</v>
      </c>
    </row>
    <row r="1936" spans="1:14" s="384" customFormat="1" ht="237.75" customHeight="1" outlineLevel="1" collapsed="1">
      <c r="A1936" s="412" t="s">
        <v>2453</v>
      </c>
      <c r="B1936" s="490" t="s">
        <v>301</v>
      </c>
      <c r="C1936" s="398" t="s">
        <v>47</v>
      </c>
      <c r="D1936" s="398" t="s">
        <v>1830</v>
      </c>
      <c r="E1936" s="490" t="s">
        <v>2457</v>
      </c>
      <c r="F1936" s="385" t="s">
        <v>2396</v>
      </c>
      <c r="G1936" s="385" t="s">
        <v>2435</v>
      </c>
      <c r="H1936" s="401" t="s">
        <v>2458</v>
      </c>
      <c r="I1936" s="385" t="str">
        <f>CONCATENATE(I1937," ",N1937,M1937," ",I1938," ",N1938,M1938," "," ",I1939," ",N1939,M1939," ",I1940," ",N1940,M1940," ",I1941," ",N1941,M1941," ",I1942," ",N1942,M1942," ",I1943," ",N1943,M1943,"",I1944," ",N1944,M1944," ",I1945," ",N1945,M1945," ")</f>
        <v xml:space="preserve">Демонтаж опор 8шт Установка опор 8шт  Установка укоса 7шт Устройство повторного заземления 3шт Устройство заземляющего спуска 3шт Демонтаж провода (по трассе) 0,76км Монтаж провода (по трассе) 0,76кмЗамена ответвлений к зданиям 10шт Переустановка ПУ с дер.опор на ж/б опоры 10шт </v>
      </c>
      <c r="J1936" s="489" t="s">
        <v>365</v>
      </c>
      <c r="K1936" s="450">
        <v>44409</v>
      </c>
      <c r="L1936" s="474">
        <v>44469</v>
      </c>
      <c r="M1936" s="490"/>
      <c r="N1936" s="490"/>
    </row>
    <row r="1937" spans="1:14" hidden="1" outlineLevel="2">
      <c r="A1937" s="412"/>
      <c r="B1937" s="452" t="s">
        <v>301</v>
      </c>
      <c r="C1937" s="455" t="s">
        <v>47</v>
      </c>
      <c r="D1937" s="398" t="s">
        <v>1830</v>
      </c>
      <c r="E1937" s="385"/>
      <c r="F1937" s="400"/>
      <c r="G1937" s="385"/>
      <c r="H1937" s="401"/>
      <c r="I1937" s="385" t="s">
        <v>112</v>
      </c>
      <c r="J1937" s="489"/>
      <c r="K1937" s="450"/>
      <c r="L1937" s="450"/>
      <c r="M1937" s="490" t="s">
        <v>813</v>
      </c>
      <c r="N1937" s="490">
        <v>8</v>
      </c>
    </row>
    <row r="1938" spans="1:14" hidden="1" outlineLevel="2">
      <c r="A1938" s="412"/>
      <c r="B1938" s="452" t="s">
        <v>301</v>
      </c>
      <c r="C1938" s="455" t="s">
        <v>47</v>
      </c>
      <c r="D1938" s="398" t="s">
        <v>1830</v>
      </c>
      <c r="E1938" s="385"/>
      <c r="F1938" s="400"/>
      <c r="G1938" s="385"/>
      <c r="H1938" s="401"/>
      <c r="I1938" s="385" t="s">
        <v>123</v>
      </c>
      <c r="J1938" s="489"/>
      <c r="K1938" s="450"/>
      <c r="L1938" s="450"/>
      <c r="M1938" s="490" t="s">
        <v>813</v>
      </c>
      <c r="N1938" s="490">
        <v>8</v>
      </c>
    </row>
    <row r="1939" spans="1:14" hidden="1" outlineLevel="2">
      <c r="A1939" s="412"/>
      <c r="B1939" s="452" t="s">
        <v>301</v>
      </c>
      <c r="C1939" s="455" t="s">
        <v>47</v>
      </c>
      <c r="D1939" s="398" t="s">
        <v>1830</v>
      </c>
      <c r="E1939" s="385"/>
      <c r="F1939" s="400"/>
      <c r="G1939" s="385"/>
      <c r="H1939" s="401"/>
      <c r="I1939" s="385" t="s">
        <v>103</v>
      </c>
      <c r="J1939" s="489"/>
      <c r="K1939" s="450"/>
      <c r="L1939" s="450"/>
      <c r="M1939" s="490" t="s">
        <v>813</v>
      </c>
      <c r="N1939" s="490">
        <v>7</v>
      </c>
    </row>
    <row r="1940" spans="1:14" hidden="1" outlineLevel="2">
      <c r="A1940" s="412"/>
      <c r="B1940" s="452" t="s">
        <v>301</v>
      </c>
      <c r="C1940" s="455" t="s">
        <v>47</v>
      </c>
      <c r="D1940" s="398" t="s">
        <v>1830</v>
      </c>
      <c r="E1940" s="385"/>
      <c r="F1940" s="400"/>
      <c r="G1940" s="385"/>
      <c r="H1940" s="401"/>
      <c r="I1940" s="402" t="s">
        <v>2416</v>
      </c>
      <c r="J1940" s="489"/>
      <c r="K1940" s="450"/>
      <c r="L1940" s="450"/>
      <c r="M1940" s="490" t="s">
        <v>813</v>
      </c>
      <c r="N1940" s="490">
        <v>3</v>
      </c>
    </row>
    <row r="1941" spans="1:14" hidden="1" outlineLevel="2">
      <c r="A1941" s="412"/>
      <c r="B1941" s="452" t="s">
        <v>301</v>
      </c>
      <c r="C1941" s="455" t="s">
        <v>47</v>
      </c>
      <c r="D1941" s="398" t="s">
        <v>1830</v>
      </c>
      <c r="E1941" s="385"/>
      <c r="F1941" s="400"/>
      <c r="G1941" s="385"/>
      <c r="H1941" s="401"/>
      <c r="I1941" s="402" t="s">
        <v>2437</v>
      </c>
      <c r="J1941" s="489"/>
      <c r="K1941" s="450"/>
      <c r="L1941" s="450"/>
      <c r="M1941" s="490" t="s">
        <v>813</v>
      </c>
      <c r="N1941" s="490">
        <v>3</v>
      </c>
    </row>
    <row r="1942" spans="1:14" hidden="1" outlineLevel="2">
      <c r="A1942" s="412"/>
      <c r="B1942" s="452" t="s">
        <v>301</v>
      </c>
      <c r="C1942" s="455" t="s">
        <v>47</v>
      </c>
      <c r="D1942" s="398" t="s">
        <v>1830</v>
      </c>
      <c r="E1942" s="385"/>
      <c r="F1942" s="400"/>
      <c r="G1942" s="385"/>
      <c r="H1942" s="401"/>
      <c r="I1942" s="385" t="s">
        <v>126</v>
      </c>
      <c r="J1942" s="489"/>
      <c r="K1942" s="450"/>
      <c r="L1942" s="450"/>
      <c r="M1942" s="490" t="s">
        <v>308</v>
      </c>
      <c r="N1942" s="490">
        <v>0.76</v>
      </c>
    </row>
    <row r="1943" spans="1:14" hidden="1" outlineLevel="2">
      <c r="A1943" s="412"/>
      <c r="B1943" s="452" t="s">
        <v>301</v>
      </c>
      <c r="C1943" s="455" t="s">
        <v>47</v>
      </c>
      <c r="D1943" s="398" t="s">
        <v>1830</v>
      </c>
      <c r="E1943" s="385"/>
      <c r="F1943" s="400"/>
      <c r="G1943" s="385"/>
      <c r="H1943" s="401"/>
      <c r="I1943" s="385" t="s">
        <v>40</v>
      </c>
      <c r="J1943" s="489"/>
      <c r="K1943" s="450"/>
      <c r="L1943" s="450"/>
      <c r="M1943" s="490" t="s">
        <v>308</v>
      </c>
      <c r="N1943" s="490">
        <v>0.76</v>
      </c>
    </row>
    <row r="1944" spans="1:14" hidden="1" outlineLevel="2">
      <c r="A1944" s="412"/>
      <c r="B1944" s="452" t="s">
        <v>301</v>
      </c>
      <c r="C1944" s="455" t="s">
        <v>47</v>
      </c>
      <c r="D1944" s="398" t="s">
        <v>1830</v>
      </c>
      <c r="E1944" s="385"/>
      <c r="F1944" s="400"/>
      <c r="G1944" s="385"/>
      <c r="H1944" s="401"/>
      <c r="I1944" s="402" t="s">
        <v>42</v>
      </c>
      <c r="J1944" s="489"/>
      <c r="K1944" s="450"/>
      <c r="L1944" s="450"/>
      <c r="M1944" s="490" t="s">
        <v>813</v>
      </c>
      <c r="N1944" s="490">
        <v>10</v>
      </c>
    </row>
    <row r="1945" spans="1:14" hidden="1" outlineLevel="2">
      <c r="A1945" s="412"/>
      <c r="B1945" s="452" t="s">
        <v>301</v>
      </c>
      <c r="C1945" s="455" t="s">
        <v>47</v>
      </c>
      <c r="D1945" s="398" t="s">
        <v>1830</v>
      </c>
      <c r="E1945" s="385"/>
      <c r="F1945" s="400"/>
      <c r="G1945" s="385"/>
      <c r="H1945" s="401"/>
      <c r="I1945" s="402" t="s">
        <v>2443</v>
      </c>
      <c r="J1945" s="489"/>
      <c r="K1945" s="450"/>
      <c r="L1945" s="450"/>
      <c r="M1945" s="490" t="s">
        <v>813</v>
      </c>
      <c r="N1945" s="490">
        <v>10</v>
      </c>
    </row>
    <row r="1946" spans="1:14" s="394" customFormat="1" ht="60.75" outlineLevel="1" collapsed="1">
      <c r="A1946" s="412" t="s">
        <v>3543</v>
      </c>
      <c r="B1946" s="452" t="s">
        <v>301</v>
      </c>
      <c r="C1946" s="398" t="s">
        <v>1989</v>
      </c>
      <c r="D1946" s="398" t="s">
        <v>1830</v>
      </c>
      <c r="E1946" s="490" t="s">
        <v>2413</v>
      </c>
      <c r="F1946" s="385" t="s">
        <v>1211</v>
      </c>
      <c r="G1946" s="385"/>
      <c r="H1946" s="401" t="s">
        <v>3544</v>
      </c>
      <c r="I1946" s="385" t="str">
        <f>CONCATENATE(I1947," ",N1947,M1947," ",I1948," ",N1948,M1948," "," ",I1949," ",N1949,M1949," ",I1950," ",N1950,M1950," ",)</f>
        <v xml:space="preserve">Замена опор 9шт. Демонтаж провода (по трассе) 0,4км  Монтаж провода (по трассе) 0,4км Замена ответвлений к зданиям 16шт. </v>
      </c>
      <c r="J1946" s="489" t="s">
        <v>365</v>
      </c>
      <c r="K1946" s="450">
        <v>44378</v>
      </c>
      <c r="L1946" s="474">
        <v>44407</v>
      </c>
      <c r="M1946" s="490"/>
      <c r="N1946" s="490"/>
    </row>
    <row r="1947" spans="1:14" ht="22.5" hidden="1" customHeight="1" outlineLevel="2">
      <c r="A1947" s="438"/>
      <c r="B1947" s="452" t="s">
        <v>301</v>
      </c>
      <c r="C1947" s="398" t="s">
        <v>1989</v>
      </c>
      <c r="D1947" s="398" t="s">
        <v>1830</v>
      </c>
      <c r="E1947" s="385"/>
      <c r="F1947" s="400"/>
      <c r="G1947" s="385"/>
      <c r="H1947" s="401" t="s">
        <v>3545</v>
      </c>
      <c r="I1947" s="402" t="s">
        <v>39</v>
      </c>
      <c r="J1947" s="489" t="s">
        <v>365</v>
      </c>
      <c r="K1947" s="450"/>
      <c r="L1947" s="450"/>
      <c r="M1947" s="490" t="s">
        <v>37</v>
      </c>
      <c r="N1947" s="490">
        <v>9</v>
      </c>
    </row>
    <row r="1948" spans="1:14" hidden="1" outlineLevel="2">
      <c r="A1948" s="438"/>
      <c r="B1948" s="452" t="s">
        <v>301</v>
      </c>
      <c r="C1948" s="398" t="s">
        <v>1989</v>
      </c>
      <c r="D1948" s="398" t="s">
        <v>1830</v>
      </c>
      <c r="E1948" s="385"/>
      <c r="F1948" s="400"/>
      <c r="G1948" s="385"/>
      <c r="H1948" s="401" t="s">
        <v>3546</v>
      </c>
      <c r="I1948" s="402" t="s">
        <v>126</v>
      </c>
      <c r="J1948" s="489" t="s">
        <v>365</v>
      </c>
      <c r="K1948" s="450"/>
      <c r="L1948" s="450"/>
      <c r="M1948" s="490" t="s">
        <v>308</v>
      </c>
      <c r="N1948" s="490">
        <v>0.4</v>
      </c>
    </row>
    <row r="1949" spans="1:14" hidden="1" outlineLevel="2">
      <c r="A1949" s="438"/>
      <c r="B1949" s="452" t="s">
        <v>301</v>
      </c>
      <c r="C1949" s="398" t="s">
        <v>1989</v>
      </c>
      <c r="D1949" s="398" t="s">
        <v>1830</v>
      </c>
      <c r="E1949" s="385"/>
      <c r="F1949" s="400"/>
      <c r="G1949" s="385"/>
      <c r="H1949" s="401" t="s">
        <v>3546</v>
      </c>
      <c r="I1949" s="402" t="s">
        <v>40</v>
      </c>
      <c r="J1949" s="489" t="s">
        <v>365</v>
      </c>
      <c r="K1949" s="450"/>
      <c r="L1949" s="450"/>
      <c r="M1949" s="490" t="s">
        <v>308</v>
      </c>
      <c r="N1949" s="490">
        <v>0.4</v>
      </c>
    </row>
    <row r="1950" spans="1:14" hidden="1" outlineLevel="2">
      <c r="A1950" s="438"/>
      <c r="B1950" s="452" t="s">
        <v>301</v>
      </c>
      <c r="C1950" s="398" t="s">
        <v>1989</v>
      </c>
      <c r="D1950" s="398" t="s">
        <v>1830</v>
      </c>
      <c r="E1950" s="385"/>
      <c r="F1950" s="400"/>
      <c r="H1950" s="401"/>
      <c r="I1950" s="402" t="s">
        <v>42</v>
      </c>
      <c r="J1950" s="489" t="s">
        <v>365</v>
      </c>
      <c r="K1950" s="450"/>
      <c r="L1950" s="450"/>
      <c r="M1950" s="490" t="s">
        <v>37</v>
      </c>
      <c r="N1950" s="490">
        <v>16</v>
      </c>
    </row>
    <row r="1951" spans="1:14" s="394" customFormat="1" ht="60.75" outlineLevel="1" collapsed="1">
      <c r="A1951" s="412" t="s">
        <v>3547</v>
      </c>
      <c r="B1951" s="452" t="s">
        <v>301</v>
      </c>
      <c r="C1951" s="398" t="s">
        <v>1989</v>
      </c>
      <c r="D1951" s="398" t="s">
        <v>1830</v>
      </c>
      <c r="E1951" s="490" t="s">
        <v>3548</v>
      </c>
      <c r="F1951" s="385" t="s">
        <v>1211</v>
      </c>
      <c r="G1951" s="385" t="s">
        <v>1213</v>
      </c>
      <c r="H1951" s="401" t="s">
        <v>3549</v>
      </c>
      <c r="I1951" s="385" t="str">
        <f>CONCATENATE(I1952," ",N1952,M1952," ",I1953," ",N1953,M1953," "," ",I1954," ",N1954,M1954," ",I1955," ",N1955,M1955," ",)</f>
        <v xml:space="preserve">Замена опор 7шт. Демонтаж провода (по трассе) 0,29км  Монтаж провода (по трассе) 0,29км Замена ответвлений к зданиям 6шт. </v>
      </c>
      <c r="J1951" s="489" t="s">
        <v>365</v>
      </c>
      <c r="K1951" s="450">
        <v>44440</v>
      </c>
      <c r="L1951" s="474">
        <v>44469</v>
      </c>
      <c r="M1951" s="490"/>
      <c r="N1951" s="490"/>
    </row>
    <row r="1952" spans="1:14" ht="22.5" hidden="1" customHeight="1" outlineLevel="2">
      <c r="A1952" s="438"/>
      <c r="B1952" s="452" t="s">
        <v>301</v>
      </c>
      <c r="C1952" s="398" t="s">
        <v>1989</v>
      </c>
      <c r="D1952" s="398" t="s">
        <v>1830</v>
      </c>
      <c r="E1952" s="385"/>
      <c r="F1952" s="400"/>
      <c r="G1952" s="385"/>
      <c r="H1952" s="401" t="s">
        <v>3550</v>
      </c>
      <c r="I1952" s="402" t="s">
        <v>39</v>
      </c>
      <c r="J1952" s="489" t="s">
        <v>365</v>
      </c>
      <c r="K1952" s="450"/>
      <c r="L1952" s="450"/>
      <c r="M1952" s="490" t="s">
        <v>37</v>
      </c>
      <c r="N1952" s="490">
        <v>7</v>
      </c>
    </row>
    <row r="1953" spans="1:14" hidden="1" outlineLevel="2">
      <c r="A1953" s="438"/>
      <c r="B1953" s="452" t="s">
        <v>301</v>
      </c>
      <c r="C1953" s="398" t="s">
        <v>1989</v>
      </c>
      <c r="D1953" s="398" t="s">
        <v>1830</v>
      </c>
      <c r="E1953" s="385"/>
      <c r="F1953" s="400"/>
      <c r="G1953" s="385"/>
      <c r="H1953" s="401" t="s">
        <v>3551</v>
      </c>
      <c r="I1953" s="402" t="s">
        <v>126</v>
      </c>
      <c r="J1953" s="489" t="s">
        <v>365</v>
      </c>
      <c r="K1953" s="450"/>
      <c r="L1953" s="450"/>
      <c r="M1953" s="490" t="s">
        <v>308</v>
      </c>
      <c r="N1953" s="490">
        <v>0.28999999999999998</v>
      </c>
    </row>
    <row r="1954" spans="1:14" hidden="1" outlineLevel="2">
      <c r="A1954" s="438"/>
      <c r="B1954" s="452" t="s">
        <v>301</v>
      </c>
      <c r="C1954" s="398" t="s">
        <v>1989</v>
      </c>
      <c r="D1954" s="398" t="s">
        <v>1830</v>
      </c>
      <c r="E1954" s="385"/>
      <c r="F1954" s="400"/>
      <c r="G1954" s="385"/>
      <c r="H1954" s="401" t="s">
        <v>3551</v>
      </c>
      <c r="I1954" s="402" t="s">
        <v>40</v>
      </c>
      <c r="J1954" s="489" t="s">
        <v>365</v>
      </c>
      <c r="K1954" s="450"/>
      <c r="L1954" s="450"/>
      <c r="M1954" s="490" t="s">
        <v>308</v>
      </c>
      <c r="N1954" s="490">
        <v>0.28999999999999998</v>
      </c>
    </row>
    <row r="1955" spans="1:14" hidden="1" outlineLevel="2">
      <c r="A1955" s="438"/>
      <c r="B1955" s="452" t="s">
        <v>301</v>
      </c>
      <c r="C1955" s="398" t="s">
        <v>1989</v>
      </c>
      <c r="D1955" s="398" t="s">
        <v>1830</v>
      </c>
      <c r="E1955" s="385"/>
      <c r="F1955" s="400"/>
      <c r="H1955" s="401"/>
      <c r="I1955" s="402" t="s">
        <v>42</v>
      </c>
      <c r="J1955" s="489" t="s">
        <v>365</v>
      </c>
      <c r="K1955" s="450"/>
      <c r="L1955" s="450"/>
      <c r="M1955" s="490" t="s">
        <v>37</v>
      </c>
      <c r="N1955" s="490">
        <v>6</v>
      </c>
    </row>
    <row r="1956" spans="1:14" s="384" customFormat="1" ht="60.75" outlineLevel="1" collapsed="1">
      <c r="A1956" s="412" t="s">
        <v>3552</v>
      </c>
      <c r="B1956" s="452" t="s">
        <v>301</v>
      </c>
      <c r="C1956" s="398" t="s">
        <v>1989</v>
      </c>
      <c r="D1956" s="398" t="s">
        <v>1830</v>
      </c>
      <c r="E1956" s="490" t="s">
        <v>2413</v>
      </c>
      <c r="F1956" s="385" t="s">
        <v>1211</v>
      </c>
      <c r="G1956" s="385" t="s">
        <v>1213</v>
      </c>
      <c r="H1956" s="401" t="s">
        <v>3553</v>
      </c>
      <c r="I1956" s="385" t="str">
        <f>CONCATENATE(I1957," ",N1957,M1957," ",I1958," ",N1958,M1958," "," ",I1959," ",N1959,M1959," ",I1960," ",N1960,M1960," ",)</f>
        <v xml:space="preserve">Замена опор 5шт. Демонтаж провода (по трассе) 0,27км  Монтаж провода (по трассе) 0,27км Замена ответвлений к зданиям 13шт. </v>
      </c>
      <c r="J1956" s="489" t="s">
        <v>365</v>
      </c>
      <c r="K1956" s="450">
        <v>44378</v>
      </c>
      <c r="L1956" s="474">
        <v>44407</v>
      </c>
      <c r="M1956" s="490"/>
      <c r="N1956" s="490"/>
    </row>
    <row r="1957" spans="1:14" ht="22.5" hidden="1" customHeight="1" outlineLevel="2">
      <c r="A1957" s="438"/>
      <c r="B1957" s="452" t="s">
        <v>301</v>
      </c>
      <c r="C1957" s="398" t="s">
        <v>1989</v>
      </c>
      <c r="D1957" s="398" t="s">
        <v>1830</v>
      </c>
      <c r="E1957" s="385"/>
      <c r="F1957" s="400"/>
      <c r="G1957" s="385"/>
      <c r="H1957" s="401" t="s">
        <v>3554</v>
      </c>
      <c r="I1957" s="402" t="s">
        <v>39</v>
      </c>
      <c r="J1957" s="489" t="s">
        <v>365</v>
      </c>
      <c r="K1957" s="450"/>
      <c r="L1957" s="450"/>
      <c r="M1957" s="490" t="s">
        <v>37</v>
      </c>
      <c r="N1957" s="490">
        <v>5</v>
      </c>
    </row>
    <row r="1958" spans="1:14" hidden="1" outlineLevel="2">
      <c r="A1958" s="438"/>
      <c r="B1958" s="452" t="s">
        <v>301</v>
      </c>
      <c r="C1958" s="398" t="s">
        <v>1989</v>
      </c>
      <c r="D1958" s="398" t="s">
        <v>1830</v>
      </c>
      <c r="E1958" s="385"/>
      <c r="F1958" s="400"/>
      <c r="G1958" s="385"/>
      <c r="H1958" s="401" t="s">
        <v>3555</v>
      </c>
      <c r="I1958" s="402" t="s">
        <v>126</v>
      </c>
      <c r="J1958" s="489" t="s">
        <v>365</v>
      </c>
      <c r="K1958" s="450"/>
      <c r="L1958" s="450"/>
      <c r="M1958" s="490" t="s">
        <v>308</v>
      </c>
      <c r="N1958" s="490">
        <v>0.27</v>
      </c>
    </row>
    <row r="1959" spans="1:14" hidden="1" outlineLevel="2">
      <c r="A1959" s="438"/>
      <c r="B1959" s="452" t="s">
        <v>301</v>
      </c>
      <c r="C1959" s="398" t="s">
        <v>1989</v>
      </c>
      <c r="D1959" s="398" t="s">
        <v>1830</v>
      </c>
      <c r="E1959" s="385"/>
      <c r="F1959" s="400"/>
      <c r="G1959" s="385"/>
      <c r="H1959" s="401" t="s">
        <v>3555</v>
      </c>
      <c r="I1959" s="402" t="s">
        <v>40</v>
      </c>
      <c r="J1959" s="489" t="s">
        <v>365</v>
      </c>
      <c r="K1959" s="450"/>
      <c r="L1959" s="450"/>
      <c r="M1959" s="490" t="s">
        <v>308</v>
      </c>
      <c r="N1959" s="490">
        <v>0.27</v>
      </c>
    </row>
    <row r="1960" spans="1:14" hidden="1" outlineLevel="2">
      <c r="A1960" s="438"/>
      <c r="B1960" s="452" t="s">
        <v>301</v>
      </c>
      <c r="C1960" s="398" t="s">
        <v>1989</v>
      </c>
      <c r="D1960" s="398" t="s">
        <v>1830</v>
      </c>
      <c r="E1960" s="385"/>
      <c r="F1960" s="400"/>
      <c r="H1960" s="401"/>
      <c r="I1960" s="402" t="s">
        <v>42</v>
      </c>
      <c r="J1960" s="489" t="s">
        <v>365</v>
      </c>
      <c r="K1960" s="450"/>
      <c r="L1960" s="450"/>
      <c r="M1960" s="490" t="s">
        <v>37</v>
      </c>
      <c r="N1960" s="490">
        <v>13</v>
      </c>
    </row>
    <row r="1961" spans="1:14" s="384" customFormat="1" ht="60.75" outlineLevel="1" collapsed="1">
      <c r="A1961" s="412" t="s">
        <v>3556</v>
      </c>
      <c r="B1961" s="452" t="s">
        <v>301</v>
      </c>
      <c r="C1961" s="398" t="s">
        <v>1989</v>
      </c>
      <c r="D1961" s="398" t="s">
        <v>1830</v>
      </c>
      <c r="E1961" s="490" t="s">
        <v>3548</v>
      </c>
      <c r="F1961" s="385" t="s">
        <v>1211</v>
      </c>
      <c r="G1961" s="385" t="s">
        <v>1213</v>
      </c>
      <c r="H1961" s="401" t="s">
        <v>3557</v>
      </c>
      <c r="I1961" s="385" t="str">
        <f>CONCATENATE(I1962," ",N1962,M1962," ",I1963," ",N1963,M1963," "," ",I1964," ",N1964,M1964," ",I1965," ",N1965,M1965," ",)</f>
        <v xml:space="preserve">Замена опор 13шт. Демонтаж провода (по трассе) 0,4км  Монтаж провода (по трассе) 0,4км Замена ответвлений к зданиям 18шт. </v>
      </c>
      <c r="J1961" s="489" t="s">
        <v>365</v>
      </c>
      <c r="K1961" s="450">
        <v>44470</v>
      </c>
      <c r="L1961" s="474">
        <v>44500</v>
      </c>
      <c r="M1961" s="490"/>
      <c r="N1961" s="490"/>
    </row>
    <row r="1962" spans="1:14" ht="22.5" hidden="1" customHeight="1" outlineLevel="2">
      <c r="A1962" s="438"/>
      <c r="B1962" s="452" t="s">
        <v>301</v>
      </c>
      <c r="C1962" s="398" t="s">
        <v>1989</v>
      </c>
      <c r="D1962" s="398" t="s">
        <v>1830</v>
      </c>
      <c r="E1962" s="385"/>
      <c r="F1962" s="400"/>
      <c r="G1962" s="385"/>
      <c r="H1962" s="401" t="s">
        <v>3558</v>
      </c>
      <c r="I1962" s="402" t="s">
        <v>39</v>
      </c>
      <c r="J1962" s="489" t="s">
        <v>365</v>
      </c>
      <c r="K1962" s="450"/>
      <c r="L1962" s="450"/>
      <c r="M1962" s="490" t="s">
        <v>37</v>
      </c>
      <c r="N1962" s="490">
        <v>13</v>
      </c>
    </row>
    <row r="1963" spans="1:14" hidden="1" outlineLevel="2">
      <c r="A1963" s="438"/>
      <c r="B1963" s="452" t="s">
        <v>301</v>
      </c>
      <c r="C1963" s="398" t="s">
        <v>1989</v>
      </c>
      <c r="D1963" s="398" t="s">
        <v>1830</v>
      </c>
      <c r="E1963" s="385"/>
      <c r="F1963" s="400"/>
      <c r="G1963" s="385"/>
      <c r="H1963" s="401" t="s">
        <v>3559</v>
      </c>
      <c r="I1963" s="402" t="s">
        <v>126</v>
      </c>
      <c r="J1963" s="489" t="s">
        <v>365</v>
      </c>
      <c r="K1963" s="450"/>
      <c r="L1963" s="450"/>
      <c r="M1963" s="490" t="s">
        <v>308</v>
      </c>
      <c r="N1963" s="490">
        <v>0.4</v>
      </c>
    </row>
    <row r="1964" spans="1:14" hidden="1" outlineLevel="2">
      <c r="A1964" s="438"/>
      <c r="B1964" s="452" t="s">
        <v>301</v>
      </c>
      <c r="C1964" s="398" t="s">
        <v>1989</v>
      </c>
      <c r="D1964" s="398" t="s">
        <v>1830</v>
      </c>
      <c r="E1964" s="385"/>
      <c r="F1964" s="400"/>
      <c r="G1964" s="385"/>
      <c r="H1964" s="401" t="s">
        <v>3559</v>
      </c>
      <c r="I1964" s="402" t="s">
        <v>40</v>
      </c>
      <c r="J1964" s="489" t="s">
        <v>365</v>
      </c>
      <c r="K1964" s="450"/>
      <c r="L1964" s="450"/>
      <c r="M1964" s="490" t="s">
        <v>308</v>
      </c>
      <c r="N1964" s="490">
        <v>0.4</v>
      </c>
    </row>
    <row r="1965" spans="1:14" hidden="1" outlineLevel="2">
      <c r="A1965" s="438"/>
      <c r="B1965" s="452" t="s">
        <v>301</v>
      </c>
      <c r="C1965" s="398" t="s">
        <v>1989</v>
      </c>
      <c r="D1965" s="398" t="s">
        <v>1830</v>
      </c>
      <c r="E1965" s="385"/>
      <c r="F1965" s="400"/>
      <c r="H1965" s="401"/>
      <c r="I1965" s="402" t="s">
        <v>42</v>
      </c>
      <c r="J1965" s="489" t="s">
        <v>365</v>
      </c>
      <c r="K1965" s="450"/>
      <c r="L1965" s="450"/>
      <c r="M1965" s="490" t="s">
        <v>37</v>
      </c>
      <c r="N1965" s="490">
        <v>18</v>
      </c>
    </row>
    <row r="1966" spans="1:14" s="384" customFormat="1" ht="60.75" outlineLevel="1" collapsed="1">
      <c r="A1966" s="412" t="s">
        <v>3560</v>
      </c>
      <c r="B1966" s="452" t="s">
        <v>301</v>
      </c>
      <c r="C1966" s="398" t="s">
        <v>1989</v>
      </c>
      <c r="D1966" s="398" t="s">
        <v>1830</v>
      </c>
      <c r="E1966" s="490" t="s">
        <v>3548</v>
      </c>
      <c r="F1966" s="385" t="s">
        <v>1211</v>
      </c>
      <c r="G1966" s="385" t="s">
        <v>1213</v>
      </c>
      <c r="H1966" s="401" t="s">
        <v>3561</v>
      </c>
      <c r="I1966" s="385" t="str">
        <f>CONCATENATE(I1967," ",N1967,M1967," ",I1968," ",N1968,M1968," "," ",I1969," ",N1969,M1969," ",I1970," ",N1970,M1970," ",)</f>
        <v xml:space="preserve">Замена опор 6шт. Демонтаж провода (по трассе) 0,35км  Монтаж провода (по трассе) 0,35км Замена ответвлений к зданиям 12шт. </v>
      </c>
      <c r="J1966" s="489" t="s">
        <v>365</v>
      </c>
      <c r="K1966" s="450">
        <v>44470</v>
      </c>
      <c r="L1966" s="474">
        <v>44500</v>
      </c>
      <c r="M1966" s="490"/>
      <c r="N1966" s="490"/>
    </row>
    <row r="1967" spans="1:14" ht="22.5" hidden="1" customHeight="1" outlineLevel="2">
      <c r="A1967" s="438"/>
      <c r="B1967" s="452" t="s">
        <v>301</v>
      </c>
      <c r="C1967" s="398" t="s">
        <v>1989</v>
      </c>
      <c r="D1967" s="398" t="s">
        <v>1830</v>
      </c>
      <c r="E1967" s="385"/>
      <c r="F1967" s="400"/>
      <c r="G1967" s="385"/>
      <c r="H1967" s="401"/>
      <c r="I1967" s="402" t="s">
        <v>39</v>
      </c>
      <c r="J1967" s="489" t="s">
        <v>365</v>
      </c>
      <c r="K1967" s="450"/>
      <c r="L1967" s="450"/>
      <c r="M1967" s="490" t="s">
        <v>37</v>
      </c>
      <c r="N1967" s="490">
        <v>6</v>
      </c>
    </row>
    <row r="1968" spans="1:14" hidden="1" outlineLevel="2">
      <c r="A1968" s="438"/>
      <c r="B1968" s="452" t="s">
        <v>301</v>
      </c>
      <c r="C1968" s="398" t="s">
        <v>1989</v>
      </c>
      <c r="D1968" s="398" t="s">
        <v>1830</v>
      </c>
      <c r="E1968" s="385"/>
      <c r="F1968" s="400"/>
      <c r="G1968" s="385"/>
      <c r="H1968" s="401" t="s">
        <v>3562</v>
      </c>
      <c r="I1968" s="402" t="s">
        <v>126</v>
      </c>
      <c r="J1968" s="489" t="s">
        <v>365</v>
      </c>
      <c r="K1968" s="450"/>
      <c r="L1968" s="450"/>
      <c r="M1968" s="490" t="s">
        <v>308</v>
      </c>
      <c r="N1968" s="490">
        <v>0.35</v>
      </c>
    </row>
    <row r="1969" spans="1:14" hidden="1" outlineLevel="2">
      <c r="A1969" s="438"/>
      <c r="B1969" s="452" t="s">
        <v>301</v>
      </c>
      <c r="C1969" s="398" t="s">
        <v>1989</v>
      </c>
      <c r="D1969" s="398" t="s">
        <v>1830</v>
      </c>
      <c r="E1969" s="385"/>
      <c r="F1969" s="400"/>
      <c r="G1969" s="385"/>
      <c r="H1969" s="401" t="s">
        <v>3563</v>
      </c>
      <c r="I1969" s="402" t="s">
        <v>40</v>
      </c>
      <c r="J1969" s="489" t="s">
        <v>365</v>
      </c>
      <c r="K1969" s="450"/>
      <c r="L1969" s="450"/>
      <c r="M1969" s="490" t="s">
        <v>308</v>
      </c>
      <c r="N1969" s="490">
        <v>0.35</v>
      </c>
    </row>
    <row r="1970" spans="1:14" hidden="1" outlineLevel="2">
      <c r="A1970" s="438"/>
      <c r="B1970" s="452" t="s">
        <v>301</v>
      </c>
      <c r="C1970" s="398" t="s">
        <v>1989</v>
      </c>
      <c r="D1970" s="398" t="s">
        <v>1830</v>
      </c>
      <c r="E1970" s="385"/>
      <c r="F1970" s="400"/>
      <c r="H1970" s="401"/>
      <c r="I1970" s="402" t="s">
        <v>42</v>
      </c>
      <c r="J1970" s="489" t="s">
        <v>365</v>
      </c>
      <c r="K1970" s="450"/>
      <c r="L1970" s="450"/>
      <c r="M1970" s="490" t="s">
        <v>37</v>
      </c>
      <c r="N1970" s="490">
        <v>12</v>
      </c>
    </row>
    <row r="1971" spans="1:14" s="384" customFormat="1" ht="60.75" outlineLevel="1" collapsed="1">
      <c r="A1971" s="412" t="s">
        <v>3564</v>
      </c>
      <c r="B1971" s="452" t="s">
        <v>301</v>
      </c>
      <c r="C1971" s="398" t="s">
        <v>1989</v>
      </c>
      <c r="D1971" s="398" t="s">
        <v>1830</v>
      </c>
      <c r="E1971" s="490" t="s">
        <v>3548</v>
      </c>
      <c r="F1971" s="385" t="s">
        <v>1211</v>
      </c>
      <c r="G1971" s="385" t="s">
        <v>1213</v>
      </c>
      <c r="H1971" s="401" t="s">
        <v>3565</v>
      </c>
      <c r="I1971" s="385" t="str">
        <f>CONCATENATE(I1972," ",N1972,M1972," ",I1973," ",N1973,M1973," "," ",I1974," ",N1974,M1974," ",I1975," ",N1975,M1975," ",)</f>
        <v xml:space="preserve">Замена опор 10шт. Демонтаж провода (по трассе) 0,5км  Монтаж провода (по трассе) 0,5км Замена ответвлений к зданиям 11шт. </v>
      </c>
      <c r="J1971" s="489" t="s">
        <v>365</v>
      </c>
      <c r="K1971" s="450">
        <v>44409</v>
      </c>
      <c r="L1971" s="474">
        <v>44439</v>
      </c>
      <c r="M1971" s="490"/>
      <c r="N1971" s="490"/>
    </row>
    <row r="1972" spans="1:14" ht="22.5" hidden="1" customHeight="1" outlineLevel="2">
      <c r="A1972" s="438"/>
      <c r="B1972" s="452" t="s">
        <v>301</v>
      </c>
      <c r="C1972" s="398" t="s">
        <v>1989</v>
      </c>
      <c r="D1972" s="398" t="s">
        <v>1830</v>
      </c>
      <c r="E1972" s="385"/>
      <c r="F1972" s="400"/>
      <c r="G1972" s="385"/>
      <c r="H1972" s="401" t="s">
        <v>3566</v>
      </c>
      <c r="I1972" s="402" t="s">
        <v>39</v>
      </c>
      <c r="J1972" s="489" t="s">
        <v>365</v>
      </c>
      <c r="K1972" s="450"/>
      <c r="L1972" s="450"/>
      <c r="M1972" s="490" t="s">
        <v>37</v>
      </c>
      <c r="N1972" s="490">
        <v>10</v>
      </c>
    </row>
    <row r="1973" spans="1:14" hidden="1" outlineLevel="2">
      <c r="A1973" s="438"/>
      <c r="B1973" s="452" t="s">
        <v>301</v>
      </c>
      <c r="C1973" s="398" t="s">
        <v>1989</v>
      </c>
      <c r="D1973" s="398" t="s">
        <v>1830</v>
      </c>
      <c r="E1973" s="385"/>
      <c r="F1973" s="400"/>
      <c r="G1973" s="385"/>
      <c r="H1973" s="401" t="s">
        <v>3567</v>
      </c>
      <c r="I1973" s="402" t="s">
        <v>126</v>
      </c>
      <c r="J1973" s="489" t="s">
        <v>365</v>
      </c>
      <c r="K1973" s="450"/>
      <c r="L1973" s="450"/>
      <c r="M1973" s="490" t="s">
        <v>308</v>
      </c>
      <c r="N1973" s="490">
        <v>0.5</v>
      </c>
    </row>
    <row r="1974" spans="1:14" hidden="1" outlineLevel="2">
      <c r="A1974" s="438"/>
      <c r="B1974" s="452" t="s">
        <v>301</v>
      </c>
      <c r="C1974" s="398" t="s">
        <v>1989</v>
      </c>
      <c r="D1974" s="398" t="s">
        <v>1830</v>
      </c>
      <c r="E1974" s="385"/>
      <c r="F1974" s="400"/>
      <c r="G1974" s="385"/>
      <c r="H1974" s="401" t="s">
        <v>3567</v>
      </c>
      <c r="I1974" s="402" t="s">
        <v>40</v>
      </c>
      <c r="J1974" s="489" t="s">
        <v>365</v>
      </c>
      <c r="K1974" s="450"/>
      <c r="L1974" s="450"/>
      <c r="M1974" s="490" t="s">
        <v>308</v>
      </c>
      <c r="N1974" s="490">
        <v>0.5</v>
      </c>
    </row>
    <row r="1975" spans="1:14" hidden="1" outlineLevel="2">
      <c r="A1975" s="438"/>
      <c r="B1975" s="452" t="s">
        <v>301</v>
      </c>
      <c r="C1975" s="398" t="s">
        <v>1989</v>
      </c>
      <c r="D1975" s="398" t="s">
        <v>1830</v>
      </c>
      <c r="E1975" s="385"/>
      <c r="F1975" s="400"/>
      <c r="H1975" s="401"/>
      <c r="I1975" s="402" t="s">
        <v>42</v>
      </c>
      <c r="J1975" s="489" t="s">
        <v>365</v>
      </c>
      <c r="K1975" s="450"/>
      <c r="L1975" s="450"/>
      <c r="M1975" s="490" t="s">
        <v>37</v>
      </c>
      <c r="N1975" s="490">
        <v>11</v>
      </c>
    </row>
    <row r="1976" spans="1:14" s="384" customFormat="1" ht="40.5" outlineLevel="1" collapsed="1">
      <c r="A1976" s="412" t="s">
        <v>3568</v>
      </c>
      <c r="B1976" s="452" t="s">
        <v>301</v>
      </c>
      <c r="C1976" s="398" t="s">
        <v>1989</v>
      </c>
      <c r="D1976" s="398" t="s">
        <v>1830</v>
      </c>
      <c r="E1976" s="490" t="s">
        <v>3548</v>
      </c>
      <c r="F1976" s="385" t="s">
        <v>1211</v>
      </c>
      <c r="G1976" s="385" t="s">
        <v>1213</v>
      </c>
      <c r="H1976" s="401" t="s">
        <v>3569</v>
      </c>
      <c r="I1976" s="385" t="str">
        <f>CONCATENATE(I1977," ",N1977,M1977," ",I1978," ",N1978,M1978," "," ",I1979," ",N1979,M1979,)</f>
        <v>Демонтаж провода (по трассе) 0,12км Монтаж провода (по трассе) 0,12км  Замена ответвлений к зданиям 3шт.</v>
      </c>
      <c r="J1976" s="489" t="s">
        <v>365</v>
      </c>
      <c r="K1976" s="450">
        <v>44409</v>
      </c>
      <c r="L1976" s="474">
        <v>44439</v>
      </c>
      <c r="M1976" s="490"/>
      <c r="N1976" s="490"/>
    </row>
    <row r="1977" spans="1:14" ht="22.5" hidden="1" customHeight="1" outlineLevel="2">
      <c r="A1977" s="438"/>
      <c r="B1977" s="452" t="s">
        <v>301</v>
      </c>
      <c r="C1977" s="398" t="s">
        <v>1989</v>
      </c>
      <c r="D1977" s="398" t="s">
        <v>1830</v>
      </c>
      <c r="E1977" s="385"/>
      <c r="F1977" s="400"/>
      <c r="G1977" s="385"/>
      <c r="H1977" s="401" t="s">
        <v>3570</v>
      </c>
      <c r="I1977" s="402" t="s">
        <v>126</v>
      </c>
      <c r="J1977" s="489" t="s">
        <v>365</v>
      </c>
      <c r="K1977" s="450"/>
      <c r="L1977" s="450"/>
      <c r="M1977" s="490" t="s">
        <v>308</v>
      </c>
      <c r="N1977" s="490">
        <v>0.12</v>
      </c>
    </row>
    <row r="1978" spans="1:14" hidden="1" outlineLevel="2">
      <c r="A1978" s="438"/>
      <c r="B1978" s="452" t="s">
        <v>301</v>
      </c>
      <c r="C1978" s="398" t="s">
        <v>1989</v>
      </c>
      <c r="D1978" s="398" t="s">
        <v>1830</v>
      </c>
      <c r="E1978" s="385"/>
      <c r="F1978" s="400"/>
      <c r="G1978" s="385"/>
      <c r="H1978" s="401" t="s">
        <v>3570</v>
      </c>
      <c r="I1978" s="402" t="s">
        <v>40</v>
      </c>
      <c r="J1978" s="489" t="s">
        <v>365</v>
      </c>
      <c r="K1978" s="450"/>
      <c r="L1978" s="450"/>
      <c r="M1978" s="490" t="s">
        <v>308</v>
      </c>
      <c r="N1978" s="490">
        <v>0.12</v>
      </c>
    </row>
    <row r="1979" spans="1:14" hidden="1" outlineLevel="2">
      <c r="A1979" s="438"/>
      <c r="B1979" s="452" t="s">
        <v>301</v>
      </c>
      <c r="C1979" s="398" t="s">
        <v>1989</v>
      </c>
      <c r="D1979" s="398" t="s">
        <v>1830</v>
      </c>
      <c r="E1979" s="385"/>
      <c r="F1979" s="400"/>
      <c r="G1979" s="385"/>
      <c r="H1979" s="468"/>
      <c r="I1979" s="402" t="s">
        <v>42</v>
      </c>
      <c r="J1979" s="489" t="s">
        <v>365</v>
      </c>
      <c r="K1979" s="450"/>
      <c r="L1979" s="450"/>
      <c r="M1979" s="490" t="s">
        <v>37</v>
      </c>
      <c r="N1979" s="506">
        <v>3</v>
      </c>
    </row>
    <row r="1980" spans="1:14" s="384" customFormat="1" ht="101.25" outlineLevel="1" collapsed="1">
      <c r="A1980" s="412" t="s">
        <v>3571</v>
      </c>
      <c r="B1980" s="490" t="s">
        <v>301</v>
      </c>
      <c r="C1980" s="398" t="s">
        <v>2315</v>
      </c>
      <c r="D1980" s="398" t="s">
        <v>1830</v>
      </c>
      <c r="E1980" s="490" t="s">
        <v>3572</v>
      </c>
      <c r="F1980" s="385" t="s">
        <v>1211</v>
      </c>
      <c r="G1980" s="385" t="s">
        <v>1213</v>
      </c>
      <c r="H1980" s="401" t="s">
        <v>3573</v>
      </c>
      <c r="I1980" s="385" t="str">
        <f>CONCATENATE(I1981," ",N1981,M1981," ",I1982," ",N1982,M1982," "," ",I1983," ",N1983,M1983," ",I1984," ",N1984,M1984," ",I1985," ",N1985,M1985," ",I1986," ",N1986,M1986," ",I1987," ",N1987,M1987,"",I1988," ",N1988,M1988," ")</f>
        <v xml:space="preserve">Замена опор 20шт. Установка опор 11шт.  Демонтаж провода (по трассе) 1,2км Монтаж провода (по трассе) 1,2км Замена ответвлений к зданиям 49шт. Демонтаж опор 9шт. Демонтаж провода 0,25кмУстройство повторного заземления 3шт. </v>
      </c>
      <c r="J1980" s="489" t="s">
        <v>365</v>
      </c>
      <c r="K1980" s="450">
        <v>44378</v>
      </c>
      <c r="L1980" s="474">
        <v>44530</v>
      </c>
      <c r="M1980" s="490"/>
      <c r="N1980" s="490"/>
    </row>
    <row r="1981" spans="1:14" ht="22.5" hidden="1" customHeight="1" outlineLevel="2">
      <c r="A1981" s="438"/>
      <c r="B1981" s="452" t="s">
        <v>301</v>
      </c>
      <c r="C1981" s="398" t="s">
        <v>2315</v>
      </c>
      <c r="D1981" s="398" t="s">
        <v>1830</v>
      </c>
      <c r="E1981" s="385"/>
      <c r="F1981" s="400"/>
      <c r="G1981" s="385"/>
      <c r="H1981" s="401"/>
      <c r="I1981" s="402" t="s">
        <v>39</v>
      </c>
      <c r="J1981" s="489" t="s">
        <v>365</v>
      </c>
      <c r="K1981" s="450"/>
      <c r="L1981" s="450"/>
      <c r="M1981" s="490" t="s">
        <v>37</v>
      </c>
      <c r="N1981" s="490">
        <v>20</v>
      </c>
    </row>
    <row r="1982" spans="1:14" hidden="1" outlineLevel="2">
      <c r="A1982" s="438"/>
      <c r="B1982" s="452" t="s">
        <v>301</v>
      </c>
      <c r="C1982" s="398" t="s">
        <v>2315</v>
      </c>
      <c r="D1982" s="398" t="s">
        <v>1830</v>
      </c>
      <c r="E1982" s="385"/>
      <c r="F1982" s="400"/>
      <c r="G1982" s="385"/>
      <c r="H1982" s="401"/>
      <c r="I1982" s="402" t="s">
        <v>123</v>
      </c>
      <c r="J1982" s="489" t="s">
        <v>365</v>
      </c>
      <c r="K1982" s="450"/>
      <c r="L1982" s="450"/>
      <c r="M1982" s="490" t="s">
        <v>37</v>
      </c>
      <c r="N1982" s="490">
        <v>11</v>
      </c>
    </row>
    <row r="1983" spans="1:14" hidden="1" outlineLevel="2">
      <c r="A1983" s="438"/>
      <c r="B1983" s="452" t="s">
        <v>301</v>
      </c>
      <c r="C1983" s="398" t="s">
        <v>2315</v>
      </c>
      <c r="D1983" s="398" t="s">
        <v>1830</v>
      </c>
      <c r="E1983" s="385"/>
      <c r="F1983" s="400"/>
      <c r="G1983" s="385"/>
      <c r="H1983" s="401"/>
      <c r="I1983" s="402" t="s">
        <v>126</v>
      </c>
      <c r="J1983" s="489" t="s">
        <v>365</v>
      </c>
      <c r="K1983" s="450"/>
      <c r="L1983" s="450"/>
      <c r="M1983" s="490" t="s">
        <v>308</v>
      </c>
      <c r="N1983" s="490">
        <v>1.2</v>
      </c>
    </row>
    <row r="1984" spans="1:14" hidden="1" outlineLevel="2">
      <c r="A1984" s="438"/>
      <c r="B1984" s="452" t="s">
        <v>301</v>
      </c>
      <c r="C1984" s="398" t="s">
        <v>2315</v>
      </c>
      <c r="D1984" s="398" t="s">
        <v>1830</v>
      </c>
      <c r="E1984" s="385"/>
      <c r="F1984" s="400"/>
      <c r="H1984" s="401"/>
      <c r="I1984" s="402" t="s">
        <v>40</v>
      </c>
      <c r="J1984" s="489" t="s">
        <v>365</v>
      </c>
      <c r="K1984" s="450"/>
      <c r="L1984" s="450"/>
      <c r="M1984" s="490" t="s">
        <v>308</v>
      </c>
      <c r="N1984" s="490">
        <v>1.2</v>
      </c>
    </row>
    <row r="1985" spans="1:14" hidden="1" outlineLevel="2">
      <c r="A1985" s="438"/>
      <c r="B1985" s="452" t="s">
        <v>301</v>
      </c>
      <c r="C1985" s="398" t="s">
        <v>2315</v>
      </c>
      <c r="D1985" s="398" t="s">
        <v>1830</v>
      </c>
      <c r="E1985" s="385"/>
      <c r="F1985" s="400"/>
      <c r="G1985" s="385"/>
      <c r="H1985" s="401"/>
      <c r="I1985" s="402" t="s">
        <v>42</v>
      </c>
      <c r="J1985" s="489" t="s">
        <v>365</v>
      </c>
      <c r="K1985" s="450"/>
      <c r="L1985" s="450"/>
      <c r="M1985" s="490" t="s">
        <v>37</v>
      </c>
      <c r="N1985" s="490">
        <v>49</v>
      </c>
    </row>
    <row r="1986" spans="1:14" hidden="1" outlineLevel="2">
      <c r="A1986" s="438"/>
      <c r="B1986" s="452" t="s">
        <v>301</v>
      </c>
      <c r="C1986" s="398" t="s">
        <v>2315</v>
      </c>
      <c r="D1986" s="398" t="s">
        <v>1830</v>
      </c>
      <c r="E1986" s="385"/>
      <c r="F1986" s="400"/>
      <c r="G1986" s="385"/>
      <c r="H1986" s="401"/>
      <c r="I1986" s="402" t="s">
        <v>112</v>
      </c>
      <c r="J1986" s="489" t="s">
        <v>365</v>
      </c>
      <c r="K1986" s="450"/>
      <c r="L1986" s="450"/>
      <c r="M1986" s="490" t="s">
        <v>37</v>
      </c>
      <c r="N1986" s="490">
        <v>9</v>
      </c>
    </row>
    <row r="1987" spans="1:14" hidden="1" outlineLevel="2">
      <c r="A1987" s="438"/>
      <c r="B1987" s="452" t="s">
        <v>301</v>
      </c>
      <c r="C1987" s="398" t="s">
        <v>2315</v>
      </c>
      <c r="D1987" s="398" t="s">
        <v>1830</v>
      </c>
      <c r="E1987" s="385"/>
      <c r="F1987" s="400"/>
      <c r="G1987" s="385"/>
      <c r="H1987" s="401"/>
      <c r="I1987" s="402" t="s">
        <v>3574</v>
      </c>
      <c r="J1987" s="489" t="s">
        <v>365</v>
      </c>
      <c r="K1987" s="450"/>
      <c r="L1987" s="450"/>
      <c r="M1987" s="490" t="s">
        <v>308</v>
      </c>
      <c r="N1987" s="490">
        <v>0.25</v>
      </c>
    </row>
    <row r="1988" spans="1:14" hidden="1" outlineLevel="2">
      <c r="A1988" s="438"/>
      <c r="B1988" s="452" t="s">
        <v>301</v>
      </c>
      <c r="C1988" s="398" t="s">
        <v>2315</v>
      </c>
      <c r="D1988" s="398" t="s">
        <v>1830</v>
      </c>
      <c r="E1988" s="385"/>
      <c r="F1988" s="400"/>
      <c r="G1988" s="385"/>
      <c r="H1988" s="401"/>
      <c r="I1988" s="402" t="s">
        <v>2416</v>
      </c>
      <c r="J1988" s="489" t="s">
        <v>365</v>
      </c>
      <c r="K1988" s="450"/>
      <c r="L1988" s="450"/>
      <c r="M1988" s="490" t="s">
        <v>37</v>
      </c>
      <c r="N1988" s="490">
        <v>3</v>
      </c>
    </row>
    <row r="1989" spans="1:14" s="384" customFormat="1" ht="81" outlineLevel="1" collapsed="1">
      <c r="A1989" s="412" t="s">
        <v>3575</v>
      </c>
      <c r="B1989" s="490" t="s">
        <v>301</v>
      </c>
      <c r="C1989" s="398" t="s">
        <v>2315</v>
      </c>
      <c r="D1989" s="398" t="s">
        <v>1830</v>
      </c>
      <c r="E1989" s="490" t="s">
        <v>3572</v>
      </c>
      <c r="F1989" s="385" t="s">
        <v>1211</v>
      </c>
      <c r="G1989" s="385" t="s">
        <v>1213</v>
      </c>
      <c r="H1989" s="401" t="s">
        <v>3576</v>
      </c>
      <c r="I1989" s="385" t="str">
        <f>CONCATENATE(I1990," ",N1990,M1990," ",I1991," ",N1991,M1991," "," ",I1992," ",N1992,M1992," ",I1993," ",N1993,M1993," ",I1994," ",N1994,M1994," ",I1995," ",N1995,M1995," ",)</f>
        <v xml:space="preserve">Замена опор 23шт. Установка опор 2шт.  Демонтаж провода (по трассе) 0,83км Монтаж провода (по трассе) 0,83км Замена ответвлений к зданиям 12шт. Устройство повторного заземления 4шт. </v>
      </c>
      <c r="J1989" s="489" t="s">
        <v>365</v>
      </c>
      <c r="K1989" s="450">
        <v>44348</v>
      </c>
      <c r="L1989" s="450">
        <v>44377</v>
      </c>
      <c r="M1989" s="490"/>
      <c r="N1989" s="490"/>
    </row>
    <row r="1990" spans="1:14" ht="22.5" hidden="1" customHeight="1" outlineLevel="2">
      <c r="A1990" s="438"/>
      <c r="B1990" s="452" t="s">
        <v>301</v>
      </c>
      <c r="C1990" s="398" t="s">
        <v>2315</v>
      </c>
      <c r="D1990" s="398" t="s">
        <v>1830</v>
      </c>
      <c r="E1990" s="385"/>
      <c r="F1990" s="400"/>
      <c r="G1990" s="385"/>
      <c r="H1990" s="401"/>
      <c r="I1990" s="402" t="s">
        <v>39</v>
      </c>
      <c r="J1990" s="489" t="s">
        <v>365</v>
      </c>
      <c r="K1990" s="450"/>
      <c r="L1990" s="450"/>
      <c r="M1990" s="490" t="s">
        <v>37</v>
      </c>
      <c r="N1990" s="490">
        <v>23</v>
      </c>
    </row>
    <row r="1991" spans="1:14" hidden="1" outlineLevel="2">
      <c r="A1991" s="438"/>
      <c r="B1991" s="452" t="s">
        <v>301</v>
      </c>
      <c r="C1991" s="398" t="s">
        <v>2315</v>
      </c>
      <c r="D1991" s="398" t="s">
        <v>1830</v>
      </c>
      <c r="E1991" s="385"/>
      <c r="F1991" s="400"/>
      <c r="G1991" s="385"/>
      <c r="H1991" s="401"/>
      <c r="I1991" s="402" t="s">
        <v>123</v>
      </c>
      <c r="J1991" s="489" t="s">
        <v>365</v>
      </c>
      <c r="K1991" s="450"/>
      <c r="L1991" s="450"/>
      <c r="M1991" s="490" t="s">
        <v>37</v>
      </c>
      <c r="N1991" s="490">
        <v>2</v>
      </c>
    </row>
    <row r="1992" spans="1:14" hidden="1" outlineLevel="2">
      <c r="A1992" s="438"/>
      <c r="B1992" s="452" t="s">
        <v>301</v>
      </c>
      <c r="C1992" s="398" t="s">
        <v>2315</v>
      </c>
      <c r="D1992" s="398" t="s">
        <v>1830</v>
      </c>
      <c r="E1992" s="385"/>
      <c r="F1992" s="400"/>
      <c r="G1992" s="385"/>
      <c r="H1992" s="401"/>
      <c r="I1992" s="402" t="s">
        <v>126</v>
      </c>
      <c r="J1992" s="489" t="s">
        <v>365</v>
      </c>
      <c r="K1992" s="450"/>
      <c r="L1992" s="450"/>
      <c r="M1992" s="490" t="s">
        <v>308</v>
      </c>
      <c r="N1992" s="490">
        <v>0.83</v>
      </c>
    </row>
    <row r="1993" spans="1:14" hidden="1" outlineLevel="2">
      <c r="A1993" s="438"/>
      <c r="B1993" s="452" t="s">
        <v>301</v>
      </c>
      <c r="C1993" s="398" t="s">
        <v>2315</v>
      </c>
      <c r="D1993" s="398" t="s">
        <v>1830</v>
      </c>
      <c r="E1993" s="385"/>
      <c r="F1993" s="400"/>
      <c r="H1993" s="401"/>
      <c r="I1993" s="402" t="s">
        <v>40</v>
      </c>
      <c r="J1993" s="489" t="s">
        <v>365</v>
      </c>
      <c r="K1993" s="450"/>
      <c r="L1993" s="450"/>
      <c r="M1993" s="490" t="s">
        <v>308</v>
      </c>
      <c r="N1993" s="490">
        <v>0.83</v>
      </c>
    </row>
    <row r="1994" spans="1:14" hidden="1" outlineLevel="2">
      <c r="A1994" s="438"/>
      <c r="B1994" s="452" t="s">
        <v>301</v>
      </c>
      <c r="C1994" s="398" t="s">
        <v>2315</v>
      </c>
      <c r="D1994" s="398" t="s">
        <v>1830</v>
      </c>
      <c r="E1994" s="385"/>
      <c r="F1994" s="400"/>
      <c r="G1994" s="385"/>
      <c r="H1994" s="401"/>
      <c r="I1994" s="402" t="s">
        <v>42</v>
      </c>
      <c r="J1994" s="489" t="s">
        <v>365</v>
      </c>
      <c r="K1994" s="450"/>
      <c r="L1994" s="450"/>
      <c r="M1994" s="490" t="s">
        <v>37</v>
      </c>
      <c r="N1994" s="490">
        <v>12</v>
      </c>
    </row>
    <row r="1995" spans="1:14" hidden="1" outlineLevel="2">
      <c r="A1995" s="438"/>
      <c r="B1995" s="452" t="s">
        <v>301</v>
      </c>
      <c r="C1995" s="398" t="s">
        <v>2315</v>
      </c>
      <c r="D1995" s="398" t="s">
        <v>1830</v>
      </c>
      <c r="E1995" s="385"/>
      <c r="F1995" s="400"/>
      <c r="G1995" s="385"/>
      <c r="H1995" s="401"/>
      <c r="I1995" s="402" t="s">
        <v>2416</v>
      </c>
      <c r="J1995" s="489" t="s">
        <v>365</v>
      </c>
      <c r="K1995" s="450"/>
      <c r="L1995" s="450"/>
      <c r="M1995" s="490" t="s">
        <v>37</v>
      </c>
      <c r="N1995" s="490">
        <v>4</v>
      </c>
    </row>
    <row r="1996" spans="1:14" s="384" customFormat="1" ht="81" outlineLevel="1" collapsed="1">
      <c r="A1996" s="412" t="s">
        <v>3577</v>
      </c>
      <c r="B1996" s="490" t="s">
        <v>301</v>
      </c>
      <c r="C1996" s="398" t="s">
        <v>2315</v>
      </c>
      <c r="D1996" s="398" t="s">
        <v>1830</v>
      </c>
      <c r="E1996" s="490" t="s">
        <v>3572</v>
      </c>
      <c r="F1996" s="385" t="s">
        <v>1211</v>
      </c>
      <c r="G1996" s="385" t="s">
        <v>1213</v>
      </c>
      <c r="H1996" s="401" t="s">
        <v>3578</v>
      </c>
      <c r="I1996" s="385" t="str">
        <f>CONCATENATE(I1997," ",N1997,M1997," ",I1998," ",N1998,M1998," "," ",I1999," ",N1999,M1999," ",I2000," ",N2000,M2000," ",I2001," ",N2001,M2001," ",I2002," ",N2002,M2002," ",)</f>
        <v xml:space="preserve">Замена опор 17шт. Установка опор 5шт.  Демонтаж провода (по трассе) 0,745км Монтаж провода (по трассе) 0,745км Замена ответвлений к зданиям 36шт. Устройство повторного заземления 4шт. </v>
      </c>
      <c r="J1996" s="489" t="s">
        <v>365</v>
      </c>
      <c r="K1996" s="450">
        <v>44470</v>
      </c>
      <c r="L1996" s="474">
        <v>44530</v>
      </c>
      <c r="M1996" s="490"/>
      <c r="N1996" s="490"/>
    </row>
    <row r="1997" spans="1:14" ht="22.5" hidden="1" customHeight="1" outlineLevel="2">
      <c r="A1997" s="438"/>
      <c r="B1997" s="452" t="s">
        <v>301</v>
      </c>
      <c r="C1997" s="398" t="s">
        <v>2315</v>
      </c>
      <c r="D1997" s="398" t="s">
        <v>1830</v>
      </c>
      <c r="E1997" s="385"/>
      <c r="F1997" s="400"/>
      <c r="G1997" s="385"/>
      <c r="H1997" s="401"/>
      <c r="I1997" s="402" t="s">
        <v>39</v>
      </c>
      <c r="J1997" s="489" t="s">
        <v>365</v>
      </c>
      <c r="K1997" s="450"/>
      <c r="L1997" s="450"/>
      <c r="M1997" s="490" t="s">
        <v>37</v>
      </c>
      <c r="N1997" s="490">
        <v>17</v>
      </c>
    </row>
    <row r="1998" spans="1:14" hidden="1" outlineLevel="2">
      <c r="A1998" s="438"/>
      <c r="B1998" s="452" t="s">
        <v>301</v>
      </c>
      <c r="C1998" s="398" t="s">
        <v>2315</v>
      </c>
      <c r="D1998" s="398" t="s">
        <v>1830</v>
      </c>
      <c r="E1998" s="385"/>
      <c r="F1998" s="400"/>
      <c r="G1998" s="385"/>
      <c r="H1998" s="401"/>
      <c r="I1998" s="402" t="s">
        <v>123</v>
      </c>
      <c r="J1998" s="489" t="s">
        <v>365</v>
      </c>
      <c r="K1998" s="450"/>
      <c r="L1998" s="450"/>
      <c r="M1998" s="490" t="s">
        <v>37</v>
      </c>
      <c r="N1998" s="490">
        <v>5</v>
      </c>
    </row>
    <row r="1999" spans="1:14" hidden="1" outlineLevel="2">
      <c r="A1999" s="438"/>
      <c r="B1999" s="452" t="s">
        <v>301</v>
      </c>
      <c r="C1999" s="398" t="s">
        <v>2315</v>
      </c>
      <c r="D1999" s="398" t="s">
        <v>1830</v>
      </c>
      <c r="E1999" s="385"/>
      <c r="F1999" s="400"/>
      <c r="G1999" s="385"/>
      <c r="H1999" s="401"/>
      <c r="I1999" s="402" t="s">
        <v>126</v>
      </c>
      <c r="J1999" s="489" t="s">
        <v>365</v>
      </c>
      <c r="K1999" s="450"/>
      <c r="L1999" s="450"/>
      <c r="M1999" s="490" t="s">
        <v>308</v>
      </c>
      <c r="N1999" s="404">
        <v>0.745</v>
      </c>
    </row>
    <row r="2000" spans="1:14" hidden="1" outlineLevel="2">
      <c r="A2000" s="438"/>
      <c r="B2000" s="452" t="s">
        <v>301</v>
      </c>
      <c r="C2000" s="398" t="s">
        <v>2315</v>
      </c>
      <c r="D2000" s="398" t="s">
        <v>1830</v>
      </c>
      <c r="E2000" s="385"/>
      <c r="F2000" s="400"/>
      <c r="H2000" s="401"/>
      <c r="I2000" s="402" t="s">
        <v>40</v>
      </c>
      <c r="J2000" s="489" t="s">
        <v>365</v>
      </c>
      <c r="K2000" s="450"/>
      <c r="L2000" s="450"/>
      <c r="M2000" s="490" t="s">
        <v>308</v>
      </c>
      <c r="N2000" s="404">
        <v>0.745</v>
      </c>
    </row>
    <row r="2001" spans="1:14" hidden="1" outlineLevel="2">
      <c r="A2001" s="438"/>
      <c r="B2001" s="452" t="s">
        <v>301</v>
      </c>
      <c r="C2001" s="398" t="s">
        <v>2315</v>
      </c>
      <c r="D2001" s="398" t="s">
        <v>1830</v>
      </c>
      <c r="E2001" s="385"/>
      <c r="F2001" s="400"/>
      <c r="G2001" s="385"/>
      <c r="H2001" s="401"/>
      <c r="I2001" s="402" t="s">
        <v>42</v>
      </c>
      <c r="J2001" s="489" t="s">
        <v>365</v>
      </c>
      <c r="K2001" s="450"/>
      <c r="L2001" s="450"/>
      <c r="M2001" s="490" t="s">
        <v>37</v>
      </c>
      <c r="N2001" s="490">
        <v>36</v>
      </c>
    </row>
    <row r="2002" spans="1:14" hidden="1" outlineLevel="2">
      <c r="A2002" s="438"/>
      <c r="B2002" s="452" t="s">
        <v>301</v>
      </c>
      <c r="C2002" s="398" t="s">
        <v>2315</v>
      </c>
      <c r="D2002" s="398" t="s">
        <v>1830</v>
      </c>
      <c r="E2002" s="385"/>
      <c r="F2002" s="400"/>
      <c r="G2002" s="385"/>
      <c r="H2002" s="401"/>
      <c r="I2002" s="402" t="s">
        <v>2416</v>
      </c>
      <c r="J2002" s="489" t="s">
        <v>365</v>
      </c>
      <c r="K2002" s="450"/>
      <c r="L2002" s="450"/>
      <c r="M2002" s="490" t="s">
        <v>37</v>
      </c>
      <c r="N2002" s="490">
        <v>4</v>
      </c>
    </row>
    <row r="2003" spans="1:14" s="384" customFormat="1" ht="81" outlineLevel="1" collapsed="1">
      <c r="A2003" s="412" t="s">
        <v>3579</v>
      </c>
      <c r="B2003" s="490" t="s">
        <v>301</v>
      </c>
      <c r="C2003" s="398" t="s">
        <v>2315</v>
      </c>
      <c r="D2003" s="398" t="s">
        <v>1830</v>
      </c>
      <c r="E2003" s="490" t="s">
        <v>3572</v>
      </c>
      <c r="F2003" s="385" t="s">
        <v>1211</v>
      </c>
      <c r="G2003" s="385" t="s">
        <v>1213</v>
      </c>
      <c r="H2003" s="401" t="s">
        <v>3580</v>
      </c>
      <c r="I2003" s="385" t="str">
        <f>CONCATENATE(I2004," ",N2004,M2004," ",I2005," ",N2005,M2005," "," ",I2006," ",N2006,M2006," ",I2007," ",N2007,M2007," ",I2008," ",N2008,M2008," ",I2009," ",N2009,M2009," ",)</f>
        <v xml:space="preserve">Замена опор 11шт. Установка опор 5шт.  Демонтаж провода (по трассе) 0,71км Монтаж провода (по трассе) 0,71км Замена ответвлений к зданиям 18шт. Устройство повторного заземления 4шт. </v>
      </c>
      <c r="J2003" s="489" t="s">
        <v>365</v>
      </c>
      <c r="K2003" s="450">
        <v>44440</v>
      </c>
      <c r="L2003" s="474">
        <v>44530</v>
      </c>
      <c r="M2003" s="490"/>
      <c r="N2003" s="490"/>
    </row>
    <row r="2004" spans="1:14" ht="22.5" hidden="1" customHeight="1" outlineLevel="2">
      <c r="A2004" s="438"/>
      <c r="B2004" s="452" t="s">
        <v>301</v>
      </c>
      <c r="C2004" s="398" t="s">
        <v>2315</v>
      </c>
      <c r="D2004" s="398" t="s">
        <v>1830</v>
      </c>
      <c r="E2004" s="385"/>
      <c r="F2004" s="400"/>
      <c r="G2004" s="385"/>
      <c r="H2004" s="401"/>
      <c r="I2004" s="402" t="s">
        <v>39</v>
      </c>
      <c r="J2004" s="489" t="s">
        <v>365</v>
      </c>
      <c r="K2004" s="450"/>
      <c r="L2004" s="450"/>
      <c r="M2004" s="490" t="s">
        <v>37</v>
      </c>
      <c r="N2004" s="490">
        <v>11</v>
      </c>
    </row>
    <row r="2005" spans="1:14" hidden="1" outlineLevel="2">
      <c r="A2005" s="438"/>
      <c r="B2005" s="452" t="s">
        <v>301</v>
      </c>
      <c r="C2005" s="398" t="s">
        <v>2315</v>
      </c>
      <c r="D2005" s="398" t="s">
        <v>1830</v>
      </c>
      <c r="E2005" s="385"/>
      <c r="F2005" s="400"/>
      <c r="G2005" s="385"/>
      <c r="H2005" s="401"/>
      <c r="I2005" s="402" t="s">
        <v>123</v>
      </c>
      <c r="J2005" s="489" t="s">
        <v>365</v>
      </c>
      <c r="K2005" s="450"/>
      <c r="L2005" s="450"/>
      <c r="M2005" s="490" t="s">
        <v>37</v>
      </c>
      <c r="N2005" s="490">
        <v>5</v>
      </c>
    </row>
    <row r="2006" spans="1:14" hidden="1" outlineLevel="2">
      <c r="A2006" s="438"/>
      <c r="B2006" s="452" t="s">
        <v>301</v>
      </c>
      <c r="C2006" s="398" t="s">
        <v>2315</v>
      </c>
      <c r="D2006" s="398" t="s">
        <v>1830</v>
      </c>
      <c r="E2006" s="385"/>
      <c r="F2006" s="400"/>
      <c r="G2006" s="385"/>
      <c r="H2006" s="401"/>
      <c r="I2006" s="402" t="s">
        <v>126</v>
      </c>
      <c r="J2006" s="489" t="s">
        <v>365</v>
      </c>
      <c r="K2006" s="450"/>
      <c r="L2006" s="450"/>
      <c r="M2006" s="490" t="s">
        <v>308</v>
      </c>
      <c r="N2006" s="438">
        <v>0.71</v>
      </c>
    </row>
    <row r="2007" spans="1:14" hidden="1" outlineLevel="2">
      <c r="A2007" s="438"/>
      <c r="B2007" s="452" t="s">
        <v>301</v>
      </c>
      <c r="C2007" s="398" t="s">
        <v>2315</v>
      </c>
      <c r="D2007" s="398" t="s">
        <v>1830</v>
      </c>
      <c r="E2007" s="385"/>
      <c r="F2007" s="400"/>
      <c r="H2007" s="401"/>
      <c r="I2007" s="402" t="s">
        <v>40</v>
      </c>
      <c r="J2007" s="489" t="s">
        <v>365</v>
      </c>
      <c r="K2007" s="450"/>
      <c r="L2007" s="450"/>
      <c r="M2007" s="490" t="s">
        <v>308</v>
      </c>
      <c r="N2007" s="438">
        <v>0.71</v>
      </c>
    </row>
    <row r="2008" spans="1:14" hidden="1" outlineLevel="2">
      <c r="A2008" s="438"/>
      <c r="B2008" s="452" t="s">
        <v>301</v>
      </c>
      <c r="C2008" s="398" t="s">
        <v>2315</v>
      </c>
      <c r="D2008" s="398" t="s">
        <v>1830</v>
      </c>
      <c r="E2008" s="385"/>
      <c r="F2008" s="400"/>
      <c r="G2008" s="385"/>
      <c r="H2008" s="401"/>
      <c r="I2008" s="402" t="s">
        <v>42</v>
      </c>
      <c r="J2008" s="489" t="s">
        <v>365</v>
      </c>
      <c r="K2008" s="450"/>
      <c r="L2008" s="450"/>
      <c r="M2008" s="490" t="s">
        <v>37</v>
      </c>
      <c r="N2008" s="490">
        <v>18</v>
      </c>
    </row>
    <row r="2009" spans="1:14" hidden="1" outlineLevel="2">
      <c r="A2009" s="438"/>
      <c r="B2009" s="452" t="s">
        <v>301</v>
      </c>
      <c r="C2009" s="398" t="s">
        <v>2315</v>
      </c>
      <c r="D2009" s="398" t="s">
        <v>1830</v>
      </c>
      <c r="E2009" s="385"/>
      <c r="F2009" s="400"/>
      <c r="G2009" s="385"/>
      <c r="H2009" s="401"/>
      <c r="I2009" s="402" t="s">
        <v>2416</v>
      </c>
      <c r="J2009" s="489" t="s">
        <v>365</v>
      </c>
      <c r="K2009" s="450"/>
      <c r="L2009" s="450"/>
      <c r="M2009" s="490" t="s">
        <v>37</v>
      </c>
      <c r="N2009" s="490">
        <v>4</v>
      </c>
    </row>
    <row r="2010" spans="1:14">
      <c r="A2010" s="490" t="s">
        <v>329</v>
      </c>
      <c r="B2010" s="490"/>
      <c r="C2010" s="490"/>
      <c r="D2010" s="490"/>
      <c r="E2010" s="385"/>
      <c r="F2010" s="490"/>
      <c r="G2010" s="385"/>
      <c r="H2010" s="539" t="s">
        <v>323</v>
      </c>
      <c r="I2010" s="385"/>
      <c r="J2010" s="489"/>
      <c r="K2010" s="450"/>
      <c r="L2010" s="450"/>
      <c r="M2010" s="389"/>
      <c r="N2010" s="389"/>
    </row>
    <row r="2011" spans="1:14" s="394" customFormat="1" ht="60.75" outlineLevel="1" collapsed="1">
      <c r="A2011" s="402" t="s">
        <v>1316</v>
      </c>
      <c r="B2011" s="385" t="s">
        <v>237</v>
      </c>
      <c r="C2011" s="398" t="s">
        <v>2168</v>
      </c>
      <c r="D2011" s="399" t="s">
        <v>1830</v>
      </c>
      <c r="E2011" s="385"/>
      <c r="F2011" s="385" t="s">
        <v>2169</v>
      </c>
      <c r="G2011" s="385"/>
      <c r="H2011" s="401" t="s">
        <v>2460</v>
      </c>
      <c r="I2011" s="385" t="str">
        <f>CONCATENATE(I2012," ","(",H2012,")","-",N2012," ",M2012," ",I2013,"  ","(",H2013,")","-",N2013," ",M2013," ",)</f>
        <v xml:space="preserve">Ремонт трансформаторов 110 кВ (ТДН-10000/110, ТМН-6300/110 1Т, 2Т)-2 шт. Ремонт разъединителей 6-10 кВ  (РВ-10 ШР 10 1ТСН, ШР 10 2ТСН)-2 шт. </v>
      </c>
      <c r="J2011" s="489"/>
      <c r="K2011" s="450">
        <v>44317</v>
      </c>
      <c r="L2011" s="450">
        <v>44347</v>
      </c>
      <c r="M2011" s="490"/>
      <c r="N2011" s="490"/>
    </row>
    <row r="2012" spans="1:14" ht="40.5" hidden="1" outlineLevel="2">
      <c r="A2012" s="408"/>
      <c r="B2012" s="385" t="s">
        <v>237</v>
      </c>
      <c r="C2012" s="398" t="s">
        <v>2168</v>
      </c>
      <c r="D2012" s="399" t="s">
        <v>1830</v>
      </c>
      <c r="E2012" s="385" t="s">
        <v>2461</v>
      </c>
      <c r="F2012" s="385" t="s">
        <v>2169</v>
      </c>
      <c r="G2012" s="385"/>
      <c r="H2012" s="385" t="s">
        <v>2462</v>
      </c>
      <c r="I2012" s="385" t="s">
        <v>156</v>
      </c>
      <c r="J2012" s="489" t="s">
        <v>366</v>
      </c>
      <c r="K2012" s="450"/>
      <c r="L2012" s="450"/>
      <c r="M2012" s="490" t="s">
        <v>37</v>
      </c>
      <c r="N2012" s="490">
        <v>2</v>
      </c>
    </row>
    <row r="2013" spans="1:14" ht="40.5" hidden="1" outlineLevel="2">
      <c r="A2013" s="408"/>
      <c r="B2013" s="385" t="s">
        <v>298</v>
      </c>
      <c r="C2013" s="398" t="s">
        <v>2168</v>
      </c>
      <c r="D2013" s="399" t="s">
        <v>1830</v>
      </c>
      <c r="E2013" s="385" t="s">
        <v>2463</v>
      </c>
      <c r="F2013" s="385" t="s">
        <v>2169</v>
      </c>
      <c r="G2013" s="385"/>
      <c r="H2013" s="385" t="s">
        <v>2464</v>
      </c>
      <c r="I2013" s="385" t="s">
        <v>2465</v>
      </c>
      <c r="J2013" s="489" t="s">
        <v>366</v>
      </c>
      <c r="K2013" s="450"/>
      <c r="L2013" s="450"/>
      <c r="M2013" s="490" t="s">
        <v>37</v>
      </c>
      <c r="N2013" s="490">
        <v>2</v>
      </c>
    </row>
    <row r="2014" spans="1:14" s="394" customFormat="1" ht="243" outlineLevel="1" collapsed="1">
      <c r="A2014" s="554" t="s">
        <v>1317</v>
      </c>
      <c r="B2014" s="385" t="s">
        <v>237</v>
      </c>
      <c r="C2014" s="398" t="s">
        <v>2168</v>
      </c>
      <c r="D2014" s="399" t="s">
        <v>1830</v>
      </c>
      <c r="E2014" s="385"/>
      <c r="F2014" s="385" t="s">
        <v>2466</v>
      </c>
      <c r="G2014" s="385"/>
      <c r="H2014" s="401" t="s">
        <v>2467</v>
      </c>
      <c r="I2014" s="385" t="str">
        <f>CONCATENATE(I2015,"  ","(",H2015,")","-",N2015," ",M2015," ",I2016," ","(",H2016,")","-",N2016," ",M2016," ",I2017," ","(",H2017,")","-",N2017," ",M2017," ",I2018," ","(",H2018,")","-",N2018," ",M2018," ",I2019," ","(",H2019,")","-",N2019," ",M2019," ",I2020," ","(",H2020,")","-",N2020," ",M2020," ",I2021," ","(",H2021,")","-",N2021," ",M2021," ",)</f>
        <v xml:space="preserve">Ремонт разъединителей 110 кВ   (ЗОН-110М ЗОН 110 1Т, ЗОН 110 2Т)-2 шт. Замена опорно-стержневых изоляторов разъединителей 110 кВ (ЗОН-110М ЗОН 110 1Т, ЗОН 110 2Т)-2 шт. Ремонт трансформаторов 110 кВ (ТДН-10000/110 1Т)-1 шт. Ремонт трансформаторов СН (ТМ-180/6 1ТСН 6, 2ТСН 6)-2 шт. Ремонт выключателей 110 кВ (МКП-110М В 110 1Т, В 110 2Т, 
В 110 С-112)-3 шт. Ремонт трансформаторов напряжения 110 кВ (НКФ-110 ТН 110 1с, ТН 110 2с)-6 шт. Ремонт выключателей 6-10 кВ (ВМПЭ-10 В 6 яч 33)-1 шт. </v>
      </c>
      <c r="J2014" s="489"/>
      <c r="K2014" s="450">
        <v>44287</v>
      </c>
      <c r="L2014" s="450">
        <v>44377</v>
      </c>
      <c r="M2014" s="490"/>
      <c r="N2014" s="490"/>
    </row>
    <row r="2015" spans="1:14" ht="40.5" hidden="1" outlineLevel="2">
      <c r="A2015" s="527"/>
      <c r="B2015" s="385" t="s">
        <v>237</v>
      </c>
      <c r="C2015" s="398" t="s">
        <v>2168</v>
      </c>
      <c r="D2015" s="399" t="s">
        <v>1830</v>
      </c>
      <c r="E2015" s="385" t="s">
        <v>3322</v>
      </c>
      <c r="F2015" s="385" t="s">
        <v>2169</v>
      </c>
      <c r="G2015" s="459"/>
      <c r="H2015" s="459" t="s">
        <v>2494</v>
      </c>
      <c r="I2015" s="459" t="s">
        <v>199</v>
      </c>
      <c r="J2015" s="489" t="s">
        <v>365</v>
      </c>
      <c r="K2015" s="450"/>
      <c r="L2015" s="450"/>
      <c r="M2015" s="490" t="s">
        <v>37</v>
      </c>
      <c r="N2015" s="490">
        <v>2</v>
      </c>
    </row>
    <row r="2016" spans="1:14" ht="40.5" hidden="1" outlineLevel="2">
      <c r="A2016" s="527"/>
      <c r="B2016" s="385" t="s">
        <v>237</v>
      </c>
      <c r="C2016" s="398" t="s">
        <v>2168</v>
      </c>
      <c r="D2016" s="399" t="s">
        <v>1830</v>
      </c>
      <c r="E2016" s="385" t="s">
        <v>3323</v>
      </c>
      <c r="F2016" s="521" t="s">
        <v>1211</v>
      </c>
      <c r="G2016" s="528" t="s">
        <v>2496</v>
      </c>
      <c r="H2016" s="528" t="s">
        <v>2494</v>
      </c>
      <c r="I2016" s="528" t="s">
        <v>119</v>
      </c>
      <c r="J2016" s="489" t="s">
        <v>365</v>
      </c>
      <c r="K2016" s="450"/>
      <c r="L2016" s="450"/>
      <c r="M2016" s="490" t="s">
        <v>37</v>
      </c>
      <c r="N2016" s="490">
        <v>2</v>
      </c>
    </row>
    <row r="2017" spans="1:14" hidden="1" outlineLevel="2">
      <c r="A2017" s="527"/>
      <c r="B2017" s="385" t="s">
        <v>237</v>
      </c>
      <c r="C2017" s="398" t="s">
        <v>2168</v>
      </c>
      <c r="D2017" s="399" t="s">
        <v>1830</v>
      </c>
      <c r="E2017" s="385" t="s">
        <v>2468</v>
      </c>
      <c r="F2017" s="385" t="s">
        <v>2169</v>
      </c>
      <c r="G2017" s="385"/>
      <c r="H2017" s="385" t="s">
        <v>2469</v>
      </c>
      <c r="I2017" s="385" t="s">
        <v>156</v>
      </c>
      <c r="J2017" s="489" t="s">
        <v>366</v>
      </c>
      <c r="K2017" s="450"/>
      <c r="L2017" s="450"/>
      <c r="M2017" s="490" t="s">
        <v>37</v>
      </c>
      <c r="N2017" s="490">
        <v>1</v>
      </c>
    </row>
    <row r="2018" spans="1:14" ht="40.5" hidden="1" outlineLevel="2">
      <c r="A2018" s="527"/>
      <c r="B2018" s="385" t="s">
        <v>298</v>
      </c>
      <c r="C2018" s="398" t="s">
        <v>2168</v>
      </c>
      <c r="D2018" s="399" t="s">
        <v>1830</v>
      </c>
      <c r="E2018" s="385" t="s">
        <v>2470</v>
      </c>
      <c r="F2018" s="385" t="s">
        <v>2169</v>
      </c>
      <c r="G2018" s="385"/>
      <c r="H2018" s="385" t="s">
        <v>2471</v>
      </c>
      <c r="I2018" s="385" t="s">
        <v>163</v>
      </c>
      <c r="J2018" s="489" t="s">
        <v>366</v>
      </c>
      <c r="K2018" s="450"/>
      <c r="L2018" s="450"/>
      <c r="M2018" s="490" t="s">
        <v>37</v>
      </c>
      <c r="N2018" s="490">
        <v>2</v>
      </c>
    </row>
    <row r="2019" spans="1:14" ht="60.75" hidden="1" outlineLevel="2">
      <c r="A2019" s="527"/>
      <c r="B2019" s="385" t="s">
        <v>237</v>
      </c>
      <c r="C2019" s="398" t="s">
        <v>2168</v>
      </c>
      <c r="D2019" s="399" t="s">
        <v>1830</v>
      </c>
      <c r="E2019" s="385" t="s">
        <v>2472</v>
      </c>
      <c r="F2019" s="385" t="s">
        <v>2169</v>
      </c>
      <c r="G2019" s="385"/>
      <c r="H2019" s="385" t="s">
        <v>2473</v>
      </c>
      <c r="I2019" s="385" t="s">
        <v>186</v>
      </c>
      <c r="J2019" s="489" t="s">
        <v>366</v>
      </c>
      <c r="K2019" s="450"/>
      <c r="L2019" s="450"/>
      <c r="M2019" s="490" t="s">
        <v>37</v>
      </c>
      <c r="N2019" s="490">
        <v>3</v>
      </c>
    </row>
    <row r="2020" spans="1:14" ht="121.5" hidden="1" outlineLevel="2">
      <c r="A2020" s="527"/>
      <c r="B2020" s="385" t="s">
        <v>237</v>
      </c>
      <c r="C2020" s="398" t="s">
        <v>2168</v>
      </c>
      <c r="D2020" s="399" t="s">
        <v>1830</v>
      </c>
      <c r="E2020" s="385" t="s">
        <v>2474</v>
      </c>
      <c r="F2020" s="385" t="s">
        <v>2169</v>
      </c>
      <c r="G2020" s="385"/>
      <c r="H2020" s="385" t="s">
        <v>2475</v>
      </c>
      <c r="I2020" s="385" t="s">
        <v>217</v>
      </c>
      <c r="J2020" s="489" t="s">
        <v>366</v>
      </c>
      <c r="K2020" s="450"/>
      <c r="L2020" s="450"/>
      <c r="M2020" s="490" t="s">
        <v>37</v>
      </c>
      <c r="N2020" s="490">
        <v>6</v>
      </c>
    </row>
    <row r="2021" spans="1:14" hidden="1" outlineLevel="2">
      <c r="A2021" s="527"/>
      <c r="B2021" s="385" t="s">
        <v>298</v>
      </c>
      <c r="C2021" s="398" t="s">
        <v>2168</v>
      </c>
      <c r="D2021" s="399" t="s">
        <v>1830</v>
      </c>
      <c r="E2021" s="385" t="s">
        <v>2476</v>
      </c>
      <c r="F2021" s="385" t="s">
        <v>2169</v>
      </c>
      <c r="G2021" s="385"/>
      <c r="H2021" s="385" t="s">
        <v>2477</v>
      </c>
      <c r="I2021" s="385" t="s">
        <v>191</v>
      </c>
      <c r="J2021" s="489" t="s">
        <v>366</v>
      </c>
      <c r="K2021" s="450"/>
      <c r="L2021" s="450"/>
      <c r="M2021" s="490" t="s">
        <v>37</v>
      </c>
      <c r="N2021" s="490">
        <v>1</v>
      </c>
    </row>
    <row r="2022" spans="1:14" s="394" customFormat="1" ht="60.75" outlineLevel="1" collapsed="1">
      <c r="A2022" s="554" t="s">
        <v>1318</v>
      </c>
      <c r="B2022" s="385" t="s">
        <v>237</v>
      </c>
      <c r="C2022" s="398" t="s">
        <v>2168</v>
      </c>
      <c r="D2022" s="399" t="s">
        <v>1830</v>
      </c>
      <c r="E2022" s="385"/>
      <c r="F2022" s="385" t="s">
        <v>2478</v>
      </c>
      <c r="G2022" s="385"/>
      <c r="H2022" s="401" t="s">
        <v>2479</v>
      </c>
      <c r="I2022" s="385" t="str">
        <f>CONCATENATE(I2023," ","(",H2023,")","-",N2023," ",M2023," ",I2024,"  ","(",H2024,")","-",N2024," ",M2024," ",)</f>
        <v xml:space="preserve">Ремонт разъединителей 6-10 кВ (РНДЗ-35 1РРК 10, 2РРК 10)-2 шт. Ремонт трансформаторов напряжения 6-10 кВ  (НТМИ-10 ТН 10 1с, ТН 10 2с)-2 шт. </v>
      </c>
      <c r="J2022" s="489"/>
      <c r="K2022" s="450">
        <v>44287</v>
      </c>
      <c r="L2022" s="450">
        <v>44500</v>
      </c>
      <c r="M2022" s="490"/>
      <c r="N2022" s="490"/>
    </row>
    <row r="2023" spans="1:14" ht="40.5" hidden="1" outlineLevel="2">
      <c r="A2023" s="527"/>
      <c r="B2023" s="385" t="s">
        <v>298</v>
      </c>
      <c r="C2023" s="398" t="s">
        <v>2168</v>
      </c>
      <c r="D2023" s="399" t="s">
        <v>1830</v>
      </c>
      <c r="E2023" s="385" t="s">
        <v>2480</v>
      </c>
      <c r="F2023" s="385" t="s">
        <v>2169</v>
      </c>
      <c r="G2023" s="385"/>
      <c r="H2023" s="385" t="s">
        <v>2481</v>
      </c>
      <c r="I2023" s="385" t="s">
        <v>2465</v>
      </c>
      <c r="J2023" s="489" t="s">
        <v>365</v>
      </c>
      <c r="K2023" s="450"/>
      <c r="L2023" s="450"/>
      <c r="M2023" s="490" t="s">
        <v>37</v>
      </c>
      <c r="N2023" s="490">
        <v>2</v>
      </c>
    </row>
    <row r="2024" spans="1:14" ht="40.5" hidden="1" outlineLevel="2">
      <c r="A2024" s="527"/>
      <c r="B2024" s="385" t="s">
        <v>298</v>
      </c>
      <c r="C2024" s="398" t="s">
        <v>2168</v>
      </c>
      <c r="D2024" s="399" t="s">
        <v>1830</v>
      </c>
      <c r="E2024" s="385" t="s">
        <v>2482</v>
      </c>
      <c r="F2024" s="385" t="s">
        <v>2169</v>
      </c>
      <c r="G2024" s="385"/>
      <c r="H2024" s="385" t="s">
        <v>2483</v>
      </c>
      <c r="I2024" s="385" t="s">
        <v>234</v>
      </c>
      <c r="J2024" s="489" t="s">
        <v>366</v>
      </c>
      <c r="K2024" s="450"/>
      <c r="L2024" s="450"/>
      <c r="M2024" s="490" t="s">
        <v>37</v>
      </c>
      <c r="N2024" s="490">
        <v>2</v>
      </c>
    </row>
    <row r="2025" spans="1:14" s="394" customFormat="1" ht="81" outlineLevel="1" collapsed="1">
      <c r="A2025" s="554" t="s">
        <v>1319</v>
      </c>
      <c r="B2025" s="385" t="s">
        <v>237</v>
      </c>
      <c r="C2025" s="398" t="s">
        <v>2168</v>
      </c>
      <c r="D2025" s="399" t="s">
        <v>1830</v>
      </c>
      <c r="E2025" s="385"/>
      <c r="F2025" s="385" t="s">
        <v>2169</v>
      </c>
      <c r="G2025" s="385"/>
      <c r="H2025" s="401" t="s">
        <v>2484</v>
      </c>
      <c r="I2025" s="385" t="str">
        <f>CONCATENATE(I2026," ","(",H2026,")","-",N2026," ",M2026," ",I2027,"  ","(",H2027,")","-",N2027," ",M2027," ","(",H2028,")","-",N2028," ",M2028," ",)</f>
        <v xml:space="preserve">Ремонт выключателей 6-10 кВ (ВМПЭ-10 СВ 10, В 10 1Т, В 10 яч  7, В 10 2Т яч  33)-4 шт. Ремонт трансформаторов 110 кВ  (ТМН-2500/110 1Т, 2Т)-2 шт. (РНДЗ-110 СР 110 2с, РРП 110 С-80)-2 шт. </v>
      </c>
      <c r="J2025" s="489"/>
      <c r="K2025" s="450">
        <v>44287</v>
      </c>
      <c r="L2025" s="450">
        <v>44439</v>
      </c>
      <c r="M2025" s="490"/>
      <c r="N2025" s="490"/>
    </row>
    <row r="2026" spans="1:14" ht="81" hidden="1" outlineLevel="2">
      <c r="A2026" s="527"/>
      <c r="B2026" s="385" t="s">
        <v>298</v>
      </c>
      <c r="C2026" s="398" t="s">
        <v>2168</v>
      </c>
      <c r="D2026" s="399" t="s">
        <v>1830</v>
      </c>
      <c r="E2026" s="385" t="s">
        <v>2485</v>
      </c>
      <c r="F2026" s="385" t="s">
        <v>2169</v>
      </c>
      <c r="G2026" s="385"/>
      <c r="H2026" s="385" t="s">
        <v>2486</v>
      </c>
      <c r="I2026" s="385" t="s">
        <v>191</v>
      </c>
      <c r="J2026" s="489" t="s">
        <v>365</v>
      </c>
      <c r="K2026" s="450"/>
      <c r="L2026" s="450"/>
      <c r="M2026" s="490" t="s">
        <v>37</v>
      </c>
      <c r="N2026" s="490">
        <v>4</v>
      </c>
    </row>
    <row r="2027" spans="1:14" ht="40.5" hidden="1" outlineLevel="2">
      <c r="A2027" s="527"/>
      <c r="B2027" s="385" t="s">
        <v>237</v>
      </c>
      <c r="C2027" s="398" t="s">
        <v>2168</v>
      </c>
      <c r="D2027" s="399" t="s">
        <v>1830</v>
      </c>
      <c r="E2027" s="385" t="s">
        <v>2487</v>
      </c>
      <c r="F2027" s="385" t="s">
        <v>2169</v>
      </c>
      <c r="G2027" s="385"/>
      <c r="H2027" s="385" t="s">
        <v>2488</v>
      </c>
      <c r="I2027" s="385" t="s">
        <v>156</v>
      </c>
      <c r="J2027" s="489" t="s">
        <v>366</v>
      </c>
      <c r="K2027" s="450"/>
      <c r="L2027" s="450"/>
      <c r="M2027" s="490" t="s">
        <v>37</v>
      </c>
      <c r="N2027" s="490">
        <v>2</v>
      </c>
    </row>
    <row r="2028" spans="1:14" ht="40.5" hidden="1" outlineLevel="2">
      <c r="A2028" s="527"/>
      <c r="B2028" s="385" t="s">
        <v>237</v>
      </c>
      <c r="C2028" s="398" t="s">
        <v>2168</v>
      </c>
      <c r="D2028" s="399" t="s">
        <v>1830</v>
      </c>
      <c r="E2028" s="385" t="s">
        <v>2489</v>
      </c>
      <c r="F2028" s="385" t="s">
        <v>2169</v>
      </c>
      <c r="G2028" s="385"/>
      <c r="H2028" s="385" t="s">
        <v>2490</v>
      </c>
      <c r="I2028" s="385" t="s">
        <v>199</v>
      </c>
      <c r="J2028" s="489" t="s">
        <v>366</v>
      </c>
      <c r="K2028" s="450"/>
      <c r="L2028" s="450"/>
      <c r="M2028" s="490" t="s">
        <v>37</v>
      </c>
      <c r="N2028" s="490">
        <v>2</v>
      </c>
    </row>
    <row r="2029" spans="1:14" s="394" customFormat="1" ht="81" outlineLevel="1" collapsed="1">
      <c r="A2029" s="554" t="s">
        <v>1320</v>
      </c>
      <c r="B2029" s="385" t="s">
        <v>237</v>
      </c>
      <c r="C2029" s="398" t="s">
        <v>2168</v>
      </c>
      <c r="D2029" s="399" t="s">
        <v>1830</v>
      </c>
      <c r="E2029" s="385"/>
      <c r="F2029" s="385" t="s">
        <v>2491</v>
      </c>
      <c r="G2029" s="385"/>
      <c r="H2029" s="401" t="s">
        <v>2492</v>
      </c>
      <c r="I2029" s="385" t="str">
        <f>CONCATENATE(I2030," ","(",H2030,")","-",N2030," ",M2030," ",I2031,"  ","(",H2031,")","-",N2031," ",M2031," ",)</f>
        <v xml:space="preserve">Ремонт разъединителей 110 кВ  (ЗОН-110М ЗОН 110 1Т, ЗОН 110 2Т)-2 шт. Замена опорно-стержневых изоляторов разъединителей 110 кВ  (ЗОН-110М ЗОН 110 1Т, ЗОН 110 2Т)-2 шт. </v>
      </c>
      <c r="J2029" s="489"/>
      <c r="K2029" s="450">
        <v>44440</v>
      </c>
      <c r="L2029" s="450">
        <v>44469</v>
      </c>
      <c r="M2029" s="490"/>
      <c r="N2029" s="490"/>
    </row>
    <row r="2030" spans="1:14" ht="40.5" hidden="1" outlineLevel="2">
      <c r="A2030" s="527"/>
      <c r="B2030" s="385" t="s">
        <v>237</v>
      </c>
      <c r="C2030" s="398" t="s">
        <v>2168</v>
      </c>
      <c r="D2030" s="399" t="s">
        <v>1830</v>
      </c>
      <c r="E2030" s="385" t="s">
        <v>2493</v>
      </c>
      <c r="F2030" s="385" t="s">
        <v>2169</v>
      </c>
      <c r="G2030" s="459"/>
      <c r="H2030" s="385" t="s">
        <v>2494</v>
      </c>
      <c r="I2030" s="385" t="s">
        <v>199</v>
      </c>
      <c r="J2030" s="489" t="s">
        <v>365</v>
      </c>
      <c r="K2030" s="450"/>
      <c r="L2030" s="450"/>
      <c r="M2030" s="490" t="s">
        <v>37</v>
      </c>
      <c r="N2030" s="490">
        <v>2</v>
      </c>
    </row>
    <row r="2031" spans="1:14" ht="40.5" hidden="1" outlineLevel="2">
      <c r="A2031" s="527"/>
      <c r="B2031" s="385" t="s">
        <v>245</v>
      </c>
      <c r="C2031" s="398" t="s">
        <v>2168</v>
      </c>
      <c r="D2031" s="399" t="s">
        <v>1830</v>
      </c>
      <c r="E2031" s="385" t="s">
        <v>2495</v>
      </c>
      <c r="F2031" s="385" t="s">
        <v>1211</v>
      </c>
      <c r="G2031" s="459" t="s">
        <v>2496</v>
      </c>
      <c r="H2031" s="385" t="s">
        <v>2494</v>
      </c>
      <c r="I2031" s="385" t="s">
        <v>119</v>
      </c>
      <c r="J2031" s="489" t="s">
        <v>365</v>
      </c>
      <c r="K2031" s="450"/>
      <c r="L2031" s="450"/>
      <c r="M2031" s="490" t="s">
        <v>37</v>
      </c>
      <c r="N2031" s="490">
        <v>2</v>
      </c>
    </row>
    <row r="2032" spans="1:14" s="394" customFormat="1" ht="40.5" outlineLevel="1" collapsed="1">
      <c r="A2032" s="554" t="s">
        <v>1321</v>
      </c>
      <c r="B2032" s="385" t="s">
        <v>237</v>
      </c>
      <c r="C2032" s="398" t="s">
        <v>2168</v>
      </c>
      <c r="D2032" s="399" t="s">
        <v>1830</v>
      </c>
      <c r="E2032" s="385"/>
      <c r="F2032" s="385" t="s">
        <v>2161</v>
      </c>
      <c r="G2032" s="385"/>
      <c r="H2032" s="401" t="s">
        <v>2497</v>
      </c>
      <c r="I2032" s="385" t="str">
        <f>CONCATENATE(I2033," ","(",H2033,")","-",N2033," ",M2033," ",)</f>
        <v xml:space="preserve">Замена трансформаторов напряжения 6-10 кВ. (ЗНОЛ.06-6 на НАМИ 10-95 ТН 6 1с)-1 шт. </v>
      </c>
      <c r="J2032" s="489"/>
      <c r="K2032" s="450">
        <v>44409</v>
      </c>
      <c r="L2032" s="450">
        <v>44439</v>
      </c>
      <c r="M2032" s="490"/>
      <c r="N2032" s="490"/>
    </row>
    <row r="2033" spans="1:14" ht="60.75" hidden="1" outlineLevel="2">
      <c r="A2033" s="527"/>
      <c r="B2033" s="385" t="s">
        <v>298</v>
      </c>
      <c r="C2033" s="398" t="s">
        <v>2168</v>
      </c>
      <c r="D2033" s="399" t="s">
        <v>1830</v>
      </c>
      <c r="E2033" s="385" t="s">
        <v>2498</v>
      </c>
      <c r="F2033" s="385" t="s">
        <v>2161</v>
      </c>
      <c r="G2033" s="459" t="s">
        <v>2499</v>
      </c>
      <c r="H2033" s="385" t="s">
        <v>2500</v>
      </c>
      <c r="I2033" s="385" t="s">
        <v>224</v>
      </c>
      <c r="J2033" s="489" t="s">
        <v>365</v>
      </c>
      <c r="K2033" s="450"/>
      <c r="L2033" s="450"/>
      <c r="M2033" s="490" t="s">
        <v>37</v>
      </c>
      <c r="N2033" s="490">
        <v>1</v>
      </c>
    </row>
    <row r="2034" spans="1:14" s="394" customFormat="1" ht="40.5" outlineLevel="1" collapsed="1">
      <c r="A2034" s="554" t="s">
        <v>1322</v>
      </c>
      <c r="B2034" s="385" t="s">
        <v>237</v>
      </c>
      <c r="C2034" s="398" t="s">
        <v>2168</v>
      </c>
      <c r="D2034" s="399" t="s">
        <v>1830</v>
      </c>
      <c r="E2034" s="385"/>
      <c r="F2034" s="385" t="s">
        <v>2169</v>
      </c>
      <c r="G2034" s="385"/>
      <c r="H2034" s="401" t="s">
        <v>2501</v>
      </c>
      <c r="I2034" s="385" t="str">
        <f>CONCATENATE(I2035," ","(",H2035,")","-",N2035," ",M2035," ",)</f>
        <v xml:space="preserve">Ремонт трансформаторов 110 кВ (ТМН-2500/110 2Т )-1 шт. </v>
      </c>
      <c r="J2034" s="489"/>
      <c r="K2034" s="450">
        <v>44470</v>
      </c>
      <c r="L2034" s="450">
        <v>44500</v>
      </c>
      <c r="M2034" s="490"/>
      <c r="N2034" s="490"/>
    </row>
    <row r="2035" spans="1:14" hidden="1" outlineLevel="2">
      <c r="A2035" s="527"/>
      <c r="B2035" s="385" t="s">
        <v>237</v>
      </c>
      <c r="C2035" s="398" t="s">
        <v>2168</v>
      </c>
      <c r="D2035" s="399" t="s">
        <v>1830</v>
      </c>
      <c r="E2035" s="385" t="s">
        <v>2502</v>
      </c>
      <c r="F2035" s="385" t="s">
        <v>2169</v>
      </c>
      <c r="G2035" s="385"/>
      <c r="H2035" s="385" t="s">
        <v>2503</v>
      </c>
      <c r="I2035" s="385" t="s">
        <v>156</v>
      </c>
      <c r="J2035" s="489" t="s">
        <v>366</v>
      </c>
      <c r="K2035" s="450"/>
      <c r="L2035" s="450"/>
      <c r="M2035" s="490" t="s">
        <v>37</v>
      </c>
      <c r="N2035" s="490">
        <v>1</v>
      </c>
    </row>
    <row r="2036" spans="1:14" s="394" customFormat="1" ht="344.25" outlineLevel="1" collapsed="1">
      <c r="A2036" s="554" t="s">
        <v>1323</v>
      </c>
      <c r="B2036" s="385" t="s">
        <v>237</v>
      </c>
      <c r="C2036" s="398" t="s">
        <v>2168</v>
      </c>
      <c r="D2036" s="399" t="s">
        <v>1830</v>
      </c>
      <c r="E2036" s="385"/>
      <c r="F2036" s="385" t="s">
        <v>2466</v>
      </c>
      <c r="G2036" s="385"/>
      <c r="H2036" s="401" t="s">
        <v>2504</v>
      </c>
      <c r="I2036" s="385" t="str">
        <f>CONCATENATE(I2037," ","(",H2037,")","-",N2037," ",M2037," ",I2038," ","(",H2038,")","-",N2038," ",M2038," ",I2039," ","(",H2039,")","-",N2039," ",M2039," ",I2040," ","(",H2040,")","-",N2040," ",M2040," ",I2041," ","(",H2041,")","-",N2041," ",M2041,,)</f>
        <v>Ремонт разъединителей 110 кВ  (РНДЗ-110 ОШР 110 ОВ, 1ШР 110 1ТН,  2ШР 110 2ТН, 1ШР 110 1Т, 1ШР 110 2Т, 1ШР 110 С-108)-6 шт. Замена опорно-стержневых изоляторов разъединителей 110 кВ (РНДЗ-110 ОШР 110 ОВ, 1ШР 110 1ТН,  2ШР 110 2ТН, 1ШР 110 1Т, 1ШР 110 2Т, 1ШР 110 С-108)-30 шт. Ремонт трансформаторов 110 кВ (ТМН-6300/110 1Т)-1 шт. Ремонт выключателей 110 кВ (МКП-110М В 110 С-82, В 110 С-91, В 110 С-107, В 110 С-108, В 110 С-103)-5 шт. Ремонт разъединителей 110 кВ  (РНД-110, РНДЗ-110 ШР 110 ТН ОСШ, ЛР 110 С-82, ЛР 110 С-81, ТР 110 1Т, ТР 110 2Т, ЛР 110 С-91, ЛР 110 С-92,  ОШР 110 С-82, ОШР 110  С-81, ОШР 110 1Т, ОШР 110 2Т, ОШР 110 С-91, ОШР 110 С-92, 2ШР 110 С-104, 2ШР 110 С-103, 2ШР 110 ШСВ, 2ШР 110 ОВ, 2ШР 110 С-107, 2ШР 110 С-108
ЗОН-110 ЗОН 110 1Т, ЗОН 110 2Т)-21 шт.</v>
      </c>
      <c r="J2036" s="489"/>
      <c r="K2036" s="450">
        <v>44378</v>
      </c>
      <c r="L2036" s="450">
        <v>44500</v>
      </c>
      <c r="M2036" s="490"/>
      <c r="N2036" s="490"/>
    </row>
    <row r="2037" spans="1:14" ht="121.5" hidden="1" outlineLevel="2">
      <c r="A2037" s="527"/>
      <c r="B2037" s="385" t="s">
        <v>237</v>
      </c>
      <c r="C2037" s="398" t="s">
        <v>2168</v>
      </c>
      <c r="D2037" s="399" t="s">
        <v>1830</v>
      </c>
      <c r="E2037" s="385" t="s">
        <v>2505</v>
      </c>
      <c r="F2037" s="385" t="s">
        <v>2169</v>
      </c>
      <c r="G2037" s="385"/>
      <c r="H2037" s="385" t="s">
        <v>2506</v>
      </c>
      <c r="I2037" s="385" t="s">
        <v>199</v>
      </c>
      <c r="J2037" s="489" t="s">
        <v>365</v>
      </c>
      <c r="K2037" s="450"/>
      <c r="L2037" s="450"/>
      <c r="M2037" s="490" t="s">
        <v>37</v>
      </c>
      <c r="N2037" s="490">
        <v>6</v>
      </c>
    </row>
    <row r="2038" spans="1:14" ht="121.5" hidden="1" outlineLevel="2">
      <c r="A2038" s="527"/>
      <c r="B2038" s="385" t="s">
        <v>237</v>
      </c>
      <c r="C2038" s="398" t="s">
        <v>2168</v>
      </c>
      <c r="D2038" s="399" t="s">
        <v>1830</v>
      </c>
      <c r="E2038" s="385" t="s">
        <v>2505</v>
      </c>
      <c r="F2038" s="385" t="s">
        <v>1211</v>
      </c>
      <c r="G2038" s="385" t="s">
        <v>2496</v>
      </c>
      <c r="H2038" s="385" t="s">
        <v>2506</v>
      </c>
      <c r="I2038" s="385" t="s">
        <v>119</v>
      </c>
      <c r="J2038" s="489" t="s">
        <v>365</v>
      </c>
      <c r="K2038" s="450"/>
      <c r="L2038" s="450"/>
      <c r="M2038" s="490" t="s">
        <v>37</v>
      </c>
      <c r="N2038" s="490">
        <f>14+16</f>
        <v>30</v>
      </c>
    </row>
    <row r="2039" spans="1:14" hidden="1" outlineLevel="2">
      <c r="A2039" s="527"/>
      <c r="B2039" s="385" t="s">
        <v>237</v>
      </c>
      <c r="C2039" s="398" t="s">
        <v>2168</v>
      </c>
      <c r="D2039" s="399" t="s">
        <v>1830</v>
      </c>
      <c r="E2039" s="385" t="s">
        <v>2507</v>
      </c>
      <c r="F2039" s="385" t="s">
        <v>2169</v>
      </c>
      <c r="G2039" s="385"/>
      <c r="H2039" s="385" t="s">
        <v>2508</v>
      </c>
      <c r="I2039" s="385" t="s">
        <v>156</v>
      </c>
      <c r="J2039" s="489" t="s">
        <v>366</v>
      </c>
      <c r="K2039" s="450"/>
      <c r="L2039" s="450"/>
      <c r="M2039" s="490" t="s">
        <v>37</v>
      </c>
      <c r="N2039" s="490">
        <v>1</v>
      </c>
    </row>
    <row r="2040" spans="1:14" ht="101.25" hidden="1" outlineLevel="2">
      <c r="A2040" s="527"/>
      <c r="B2040" s="385" t="s">
        <v>237</v>
      </c>
      <c r="C2040" s="398" t="s">
        <v>2168</v>
      </c>
      <c r="D2040" s="399" t="s">
        <v>1830</v>
      </c>
      <c r="E2040" s="385" t="s">
        <v>2509</v>
      </c>
      <c r="F2040" s="385" t="s">
        <v>2169</v>
      </c>
      <c r="G2040" s="385"/>
      <c r="H2040" s="385" t="s">
        <v>2510</v>
      </c>
      <c r="I2040" s="385" t="s">
        <v>186</v>
      </c>
      <c r="J2040" s="489" t="s">
        <v>366</v>
      </c>
      <c r="K2040" s="450"/>
      <c r="L2040" s="450"/>
      <c r="M2040" s="490" t="s">
        <v>37</v>
      </c>
      <c r="N2040" s="490">
        <v>5</v>
      </c>
    </row>
    <row r="2041" spans="1:14" ht="409.5" hidden="1" outlineLevel="2">
      <c r="A2041" s="527"/>
      <c r="B2041" s="385" t="s">
        <v>237</v>
      </c>
      <c r="C2041" s="398" t="s">
        <v>2168</v>
      </c>
      <c r="D2041" s="399" t="s">
        <v>1830</v>
      </c>
      <c r="E2041" s="385" t="s">
        <v>2511</v>
      </c>
      <c r="F2041" s="385" t="s">
        <v>2169</v>
      </c>
      <c r="G2041" s="385"/>
      <c r="H2041" s="385" t="s">
        <v>2512</v>
      </c>
      <c r="I2041" s="385" t="s">
        <v>199</v>
      </c>
      <c r="J2041" s="489" t="s">
        <v>366</v>
      </c>
      <c r="K2041" s="450"/>
      <c r="L2041" s="450"/>
      <c r="M2041" s="490" t="s">
        <v>37</v>
      </c>
      <c r="N2041" s="490">
        <v>21</v>
      </c>
    </row>
    <row r="2042" spans="1:14" s="394" customFormat="1" ht="121.5" outlineLevel="1" collapsed="1">
      <c r="A2042" s="554" t="s">
        <v>1324</v>
      </c>
      <c r="B2042" s="385" t="s">
        <v>237</v>
      </c>
      <c r="C2042" s="398" t="s">
        <v>2168</v>
      </c>
      <c r="D2042" s="399" t="s">
        <v>1830</v>
      </c>
      <c r="E2042" s="385"/>
      <c r="F2042" s="385" t="s">
        <v>2513</v>
      </c>
      <c r="G2042" s="385"/>
      <c r="H2042" s="401" t="s">
        <v>2514</v>
      </c>
      <c r="I2042" s="385" t="str">
        <f>CONCATENATE(I2043," ","(",H2043,")","-",N2043," ",M2043," ",I2044,"  ","(",H2044,")","-",N2044," ",M2044," ",)</f>
        <v xml:space="preserve">Замена опорно-стержневых изоляторов разъединителей 110 кВ (ЗОН-110М ЗОН 110 1Т, ЗОН 110 2Т)-2 шт. Ремонт разъединителей 110 кВ   (ОД-110М ОД 110 1Т, ОД 110 2Т
КЗ-110М КЗ 110 1Т, КЗ 110 2Т
ЗОН-110 ЗОН 110 1Т, ЗОН 110 2Т)-6 шт. </v>
      </c>
      <c r="J2042" s="489"/>
      <c r="K2042" s="450">
        <v>44440</v>
      </c>
      <c r="L2042" s="450">
        <v>44469</v>
      </c>
      <c r="M2042" s="490"/>
      <c r="N2042" s="490"/>
    </row>
    <row r="2043" spans="1:14" ht="40.5" hidden="1" outlineLevel="2">
      <c r="A2043" s="527"/>
      <c r="B2043" s="385" t="s">
        <v>237</v>
      </c>
      <c r="C2043" s="398" t="s">
        <v>2168</v>
      </c>
      <c r="D2043" s="399" t="s">
        <v>1830</v>
      </c>
      <c r="E2043" s="385" t="s">
        <v>2515</v>
      </c>
      <c r="F2043" s="385" t="s">
        <v>1211</v>
      </c>
      <c r="G2043" s="385" t="s">
        <v>2496</v>
      </c>
      <c r="H2043" s="385" t="s">
        <v>2494</v>
      </c>
      <c r="I2043" s="385" t="s">
        <v>119</v>
      </c>
      <c r="J2043" s="489" t="s">
        <v>365</v>
      </c>
      <c r="K2043" s="450"/>
      <c r="L2043" s="450"/>
      <c r="M2043" s="490" t="s">
        <v>37</v>
      </c>
      <c r="N2043" s="490">
        <v>2</v>
      </c>
    </row>
    <row r="2044" spans="1:14" ht="121.5" hidden="1" outlineLevel="2">
      <c r="A2044" s="527"/>
      <c r="B2044" s="385" t="s">
        <v>237</v>
      </c>
      <c r="C2044" s="398" t="s">
        <v>2168</v>
      </c>
      <c r="D2044" s="399" t="s">
        <v>1830</v>
      </c>
      <c r="E2044" s="385" t="s">
        <v>2516</v>
      </c>
      <c r="F2044" s="385" t="s">
        <v>2169</v>
      </c>
      <c r="G2044" s="385"/>
      <c r="H2044" s="385" t="s">
        <v>2517</v>
      </c>
      <c r="I2044" s="385" t="s">
        <v>199</v>
      </c>
      <c r="J2044" s="489" t="s">
        <v>365</v>
      </c>
      <c r="K2044" s="450"/>
      <c r="L2044" s="450"/>
      <c r="M2044" s="490" t="s">
        <v>37</v>
      </c>
      <c r="N2044" s="490">
        <v>6</v>
      </c>
    </row>
    <row r="2045" spans="1:14" s="394" customFormat="1" ht="182.25" outlineLevel="1" collapsed="1">
      <c r="A2045" s="554" t="s">
        <v>1325</v>
      </c>
      <c r="B2045" s="385" t="s">
        <v>237</v>
      </c>
      <c r="C2045" s="399" t="s">
        <v>2518</v>
      </c>
      <c r="D2045" s="399" t="s">
        <v>1830</v>
      </c>
      <c r="E2045" s="385"/>
      <c r="F2045" s="385" t="s">
        <v>2478</v>
      </c>
      <c r="G2045" s="385"/>
      <c r="H2045" s="401" t="s">
        <v>2519</v>
      </c>
      <c r="I2045" s="385" t="str">
        <f>CONCATENATE(I2046," ","(",H2046,")","-",N2046," ",M2046," ",I2047," ","(",H2047,")","-",N2047," ",M2047," ",I2048," ","(",H2048,")","-",N2048," ",M2048," ",I2049," ","(",H2049,")","-",N2049," ",M2049," ",I2050," ","(",H2050,")","-",N2050," ",M2050," ",)</f>
        <v xml:space="preserve">Ремонт трансформаторов 110 кВ (ТМН-6300/110, ТМН-2500/110 1Т, 2Т)-2 шт. Ремонт трансформаторов СН (ТМ-63/10 1ТСН 10, 2ТСН 10)-2 шт. Ремонт разъединителей 110 кВ  (РНДЗ-110 ЛР 110 С-105, ЛР 110 С-106, РРП 110 С-105, РРП 110 С-106, СР 110 2с)-5 шт. Ремонт трансформаторов напряжения 110 кВ (НКФ-110 ТН 110 1с, ТН 110 2с)-6 шт. Ремонт выключателей 6-10 кВ (ВМПП-10 В 10 яч 4, В 10 яч 10)-2 шт. </v>
      </c>
      <c r="J2045" s="489"/>
      <c r="K2045" s="450">
        <v>44287</v>
      </c>
      <c r="L2045" s="450">
        <v>44439</v>
      </c>
      <c r="M2045" s="490"/>
      <c r="N2045" s="490"/>
    </row>
    <row r="2046" spans="1:14" ht="60.75" hidden="1" outlineLevel="2">
      <c r="A2046" s="527"/>
      <c r="B2046" s="385" t="s">
        <v>237</v>
      </c>
      <c r="C2046" s="399" t="s">
        <v>2518</v>
      </c>
      <c r="D2046" s="399" t="s">
        <v>1830</v>
      </c>
      <c r="E2046" s="385" t="s">
        <v>2520</v>
      </c>
      <c r="F2046" s="385" t="s">
        <v>2169</v>
      </c>
      <c r="G2046" s="385"/>
      <c r="H2046" s="385" t="s">
        <v>2521</v>
      </c>
      <c r="I2046" s="385" t="s">
        <v>156</v>
      </c>
      <c r="J2046" s="489" t="s">
        <v>366</v>
      </c>
      <c r="K2046" s="450"/>
      <c r="L2046" s="450"/>
      <c r="M2046" s="490" t="s">
        <v>37</v>
      </c>
      <c r="N2046" s="490">
        <v>2</v>
      </c>
    </row>
    <row r="2047" spans="1:14" ht="60.75" hidden="1" outlineLevel="2">
      <c r="A2047" s="527"/>
      <c r="B2047" s="385" t="s">
        <v>298</v>
      </c>
      <c r="C2047" s="399" t="s">
        <v>2518</v>
      </c>
      <c r="D2047" s="399" t="s">
        <v>1830</v>
      </c>
      <c r="E2047" s="385" t="s">
        <v>2522</v>
      </c>
      <c r="F2047" s="385" t="s">
        <v>2169</v>
      </c>
      <c r="G2047" s="385"/>
      <c r="H2047" s="385" t="s">
        <v>2523</v>
      </c>
      <c r="I2047" s="385" t="s">
        <v>163</v>
      </c>
      <c r="J2047" s="489" t="s">
        <v>366</v>
      </c>
      <c r="K2047" s="450"/>
      <c r="L2047" s="450"/>
      <c r="M2047" s="490" t="s">
        <v>37</v>
      </c>
      <c r="N2047" s="490">
        <v>2</v>
      </c>
    </row>
    <row r="2048" spans="1:14" ht="101.25" hidden="1" outlineLevel="2">
      <c r="A2048" s="527"/>
      <c r="B2048" s="385" t="s">
        <v>237</v>
      </c>
      <c r="C2048" s="399" t="s">
        <v>2518</v>
      </c>
      <c r="D2048" s="399" t="s">
        <v>1830</v>
      </c>
      <c r="E2048" s="385" t="s">
        <v>2524</v>
      </c>
      <c r="F2048" s="385" t="s">
        <v>2169</v>
      </c>
      <c r="G2048" s="385"/>
      <c r="H2048" s="385" t="s">
        <v>2525</v>
      </c>
      <c r="I2048" s="385" t="s">
        <v>199</v>
      </c>
      <c r="J2048" s="489" t="s">
        <v>366</v>
      </c>
      <c r="K2048" s="450"/>
      <c r="L2048" s="450"/>
      <c r="M2048" s="490" t="s">
        <v>37</v>
      </c>
      <c r="N2048" s="490">
        <v>5</v>
      </c>
    </row>
    <row r="2049" spans="1:14" ht="121.5" hidden="1" outlineLevel="2">
      <c r="A2049" s="527"/>
      <c r="B2049" s="385" t="s">
        <v>237</v>
      </c>
      <c r="C2049" s="399" t="s">
        <v>2518</v>
      </c>
      <c r="D2049" s="399" t="s">
        <v>1830</v>
      </c>
      <c r="E2049" s="385" t="s">
        <v>2526</v>
      </c>
      <c r="F2049" s="385" t="s">
        <v>2169</v>
      </c>
      <c r="G2049" s="385"/>
      <c r="H2049" s="385" t="s">
        <v>2475</v>
      </c>
      <c r="I2049" s="385" t="s">
        <v>217</v>
      </c>
      <c r="J2049" s="489" t="s">
        <v>366</v>
      </c>
      <c r="K2049" s="450"/>
      <c r="L2049" s="450"/>
      <c r="M2049" s="490" t="s">
        <v>37</v>
      </c>
      <c r="N2049" s="490">
        <v>6</v>
      </c>
    </row>
    <row r="2050" spans="1:14" ht="60.75" hidden="1" outlineLevel="2">
      <c r="A2050" s="527"/>
      <c r="B2050" s="385" t="s">
        <v>298</v>
      </c>
      <c r="C2050" s="399" t="s">
        <v>2518</v>
      </c>
      <c r="D2050" s="399" t="s">
        <v>1830</v>
      </c>
      <c r="E2050" s="385" t="s">
        <v>2527</v>
      </c>
      <c r="F2050" s="385" t="s">
        <v>2169</v>
      </c>
      <c r="G2050" s="385"/>
      <c r="H2050" s="385" t="s">
        <v>2528</v>
      </c>
      <c r="I2050" s="385" t="s">
        <v>191</v>
      </c>
      <c r="J2050" s="489" t="s">
        <v>366</v>
      </c>
      <c r="K2050" s="450"/>
      <c r="L2050" s="450"/>
      <c r="M2050" s="490" t="s">
        <v>37</v>
      </c>
      <c r="N2050" s="490">
        <v>2</v>
      </c>
    </row>
    <row r="2051" spans="1:14" s="394" customFormat="1" ht="81" outlineLevel="1" collapsed="1">
      <c r="A2051" s="554" t="s">
        <v>1326</v>
      </c>
      <c r="B2051" s="385" t="s">
        <v>237</v>
      </c>
      <c r="C2051" s="399" t="s">
        <v>2518</v>
      </c>
      <c r="D2051" s="399" t="s">
        <v>1830</v>
      </c>
      <c r="E2051" s="385"/>
      <c r="F2051" s="385" t="s">
        <v>2529</v>
      </c>
      <c r="G2051" s="385"/>
      <c r="H2051" s="401" t="s">
        <v>2530</v>
      </c>
      <c r="I2051" s="385" t="str">
        <f>CONCATENATE(I2052," ","(",H2052,")","-",N2052," ",M2052," ",I2055,"  ","(",H2055,")","-",N2055," ",M2055," ",)</f>
        <v xml:space="preserve">Ремонт выключателей 110 кВ (У-110 В 110 С-123)-1 шт. Ремонт трансформаторов напряжения 6-10 кВ  (НОМ-10 2ТН 10 1-1с, 2ТН 10 2-1с, 2ТН 10 2-2с, 2ТН 10 1-2с)-12 шт. </v>
      </c>
      <c r="J2051" s="489"/>
      <c r="K2051" s="450">
        <v>44256</v>
      </c>
      <c r="L2051" s="450">
        <v>44469</v>
      </c>
      <c r="M2051" s="490"/>
      <c r="N2051" s="490"/>
    </row>
    <row r="2052" spans="1:14" ht="60.75" hidden="1" outlineLevel="2">
      <c r="A2052" s="527"/>
      <c r="B2052" s="385" t="s">
        <v>237</v>
      </c>
      <c r="C2052" s="399" t="s">
        <v>2518</v>
      </c>
      <c r="D2052" s="399" t="s">
        <v>1830</v>
      </c>
      <c r="E2052" s="385" t="s">
        <v>2531</v>
      </c>
      <c r="F2052" s="385" t="s">
        <v>2128</v>
      </c>
      <c r="G2052" s="385" t="s">
        <v>2532</v>
      </c>
      <c r="H2052" s="385" t="s">
        <v>2533</v>
      </c>
      <c r="I2052" s="385" t="s">
        <v>186</v>
      </c>
      <c r="J2052" s="489" t="s">
        <v>365</v>
      </c>
      <c r="K2052" s="450"/>
      <c r="L2052" s="450"/>
      <c r="M2052" s="490" t="s">
        <v>37</v>
      </c>
      <c r="N2052" s="490">
        <v>1</v>
      </c>
    </row>
    <row r="2053" spans="1:14" ht="60.75" hidden="1" customHeight="1" outlineLevel="2">
      <c r="A2053" s="527"/>
      <c r="B2053" s="385" t="s">
        <v>237</v>
      </c>
      <c r="C2053" s="399" t="s">
        <v>2518</v>
      </c>
      <c r="D2053" s="399" t="s">
        <v>1830</v>
      </c>
      <c r="E2053" s="570" t="s">
        <v>2534</v>
      </c>
      <c r="F2053" s="385" t="s">
        <v>2169</v>
      </c>
      <c r="G2053" s="385"/>
      <c r="H2053" s="385" t="s">
        <v>2535</v>
      </c>
      <c r="I2053" s="385" t="s">
        <v>199</v>
      </c>
      <c r="J2053" s="489" t="s">
        <v>365</v>
      </c>
      <c r="K2053" s="450"/>
      <c r="L2053" s="450"/>
      <c r="M2053" s="490" t="s">
        <v>37</v>
      </c>
      <c r="N2053" s="490">
        <v>5</v>
      </c>
    </row>
    <row r="2054" spans="1:14" ht="60.75" hidden="1" customHeight="1" outlineLevel="2">
      <c r="A2054" s="527"/>
      <c r="B2054" s="385" t="s">
        <v>237</v>
      </c>
      <c r="C2054" s="399" t="s">
        <v>2518</v>
      </c>
      <c r="D2054" s="399" t="s">
        <v>1830</v>
      </c>
      <c r="E2054" s="572"/>
      <c r="F2054" s="385" t="s">
        <v>1211</v>
      </c>
      <c r="G2054" s="385" t="s">
        <v>2496</v>
      </c>
      <c r="H2054" s="385" t="s">
        <v>2535</v>
      </c>
      <c r="I2054" s="385" t="s">
        <v>119</v>
      </c>
      <c r="J2054" s="489" t="s">
        <v>365</v>
      </c>
      <c r="K2054" s="450"/>
      <c r="L2054" s="450"/>
      <c r="M2054" s="490" t="s">
        <v>37</v>
      </c>
      <c r="N2054" s="490">
        <v>30</v>
      </c>
    </row>
    <row r="2055" spans="1:14" ht="81" hidden="1" outlineLevel="2">
      <c r="A2055" s="527"/>
      <c r="B2055" s="385" t="s">
        <v>298</v>
      </c>
      <c r="C2055" s="399" t="s">
        <v>2518</v>
      </c>
      <c r="D2055" s="399" t="s">
        <v>1830</v>
      </c>
      <c r="E2055" s="385" t="s">
        <v>2536</v>
      </c>
      <c r="F2055" s="385" t="s">
        <v>2169</v>
      </c>
      <c r="G2055" s="385"/>
      <c r="H2055" s="385" t="s">
        <v>2537</v>
      </c>
      <c r="I2055" s="385" t="s">
        <v>234</v>
      </c>
      <c r="J2055" s="489" t="s">
        <v>366</v>
      </c>
      <c r="K2055" s="450"/>
      <c r="L2055" s="450"/>
      <c r="M2055" s="490" t="s">
        <v>37</v>
      </c>
      <c r="N2055" s="490">
        <v>12</v>
      </c>
    </row>
    <row r="2056" spans="1:14" s="394" customFormat="1" ht="202.5" outlineLevel="1" collapsed="1">
      <c r="A2056" s="554" t="s">
        <v>1327</v>
      </c>
      <c r="B2056" s="385" t="s">
        <v>237</v>
      </c>
      <c r="C2056" s="399" t="s">
        <v>2518</v>
      </c>
      <c r="D2056" s="399" t="s">
        <v>1830</v>
      </c>
      <c r="E2056" s="385"/>
      <c r="F2056" s="385" t="s">
        <v>2538</v>
      </c>
      <c r="G2056" s="385"/>
      <c r="H2056" s="401" t="s">
        <v>2539</v>
      </c>
      <c r="I2056" s="385" t="str">
        <f>CONCATENATE(I2057,"  ","(",H2057,")","-",N2057," ",M2057," ",I2058," ","(",H2058,")","-",N2058," ",M2058," ",I2059," ","(",H2059,")","-",N2059," ",M2059," ",I2060," ","(",H2060,")","-",N2060," ",M2060," ",I2061," ","(",H2061,")","-",N2061," ",M2061," ",I2062," ","(",H2062,")","-",N2062," ",M2062," ",I2063," ","(",H2063,")","-",N2063," ",M2063," ",)</f>
        <v xml:space="preserve">Замена трансформаторов напряжения 6-10 кВ.  (НТМИ-10 на НАМИ 10-95 ТН 10 1с)-1 шт. Ремонт трансформаторов 110 кВ (ТМН-6300/110 1Т)-1 шт. Ремонт трансформаторов СН (ТМ-160/10 1ТСН 10, 2ТСН 10)-2 шт. Ремонт трансформаторов напряжения 110 кВ (НКФ-110 ТН 110 1с, ТН 110 2с)-6 шт. Ремонт трансформаторов тока 110 кВ (ТФЗМ-110 Б ТТ 110 2Т)-3 шт. Ремонт выключателей 6-10 кВ (ВКЭ-10 В 10 1Т, СВ 10, В 10 2Т)-3 шт. Ремонт трансформаторов напряжения 6-10 кВ (НТМИ-10 ТН 10 2с)-1 шт. </v>
      </c>
      <c r="J2056" s="489"/>
      <c r="K2056" s="450">
        <v>44287</v>
      </c>
      <c r="L2056" s="450">
        <v>44408</v>
      </c>
      <c r="M2056" s="490"/>
      <c r="N2056" s="490"/>
    </row>
    <row r="2057" spans="1:14" ht="60.75" hidden="1" outlineLevel="2">
      <c r="A2057" s="527"/>
      <c r="B2057" s="385" t="s">
        <v>298</v>
      </c>
      <c r="C2057" s="399" t="s">
        <v>2518</v>
      </c>
      <c r="D2057" s="399" t="s">
        <v>1830</v>
      </c>
      <c r="E2057" s="385" t="s">
        <v>2540</v>
      </c>
      <c r="F2057" s="385" t="s">
        <v>2161</v>
      </c>
      <c r="G2057" s="385" t="s">
        <v>2499</v>
      </c>
      <c r="H2057" s="385" t="s">
        <v>2541</v>
      </c>
      <c r="I2057" s="385" t="s">
        <v>224</v>
      </c>
      <c r="J2057" s="489" t="s">
        <v>365</v>
      </c>
      <c r="K2057" s="450"/>
      <c r="L2057" s="450"/>
      <c r="M2057" s="490" t="s">
        <v>37</v>
      </c>
      <c r="N2057" s="490">
        <v>1</v>
      </c>
    </row>
    <row r="2058" spans="1:14" ht="60.75" hidden="1" customHeight="1" outlineLevel="2">
      <c r="A2058" s="527"/>
      <c r="B2058" s="385" t="s">
        <v>237</v>
      </c>
      <c r="C2058" s="399" t="s">
        <v>2518</v>
      </c>
      <c r="D2058" s="399" t="s">
        <v>1830</v>
      </c>
      <c r="E2058" s="570" t="s">
        <v>2542</v>
      </c>
      <c r="F2058" s="385" t="s">
        <v>2169</v>
      </c>
      <c r="G2058" s="385"/>
      <c r="H2058" s="385" t="s">
        <v>2508</v>
      </c>
      <c r="I2058" s="385" t="s">
        <v>156</v>
      </c>
      <c r="J2058" s="489" t="s">
        <v>366</v>
      </c>
      <c r="K2058" s="450"/>
      <c r="L2058" s="450"/>
      <c r="M2058" s="490" t="s">
        <v>37</v>
      </c>
      <c r="N2058" s="490">
        <v>1</v>
      </c>
    </row>
    <row r="2059" spans="1:14" ht="60.75" hidden="1" customHeight="1" outlineLevel="2">
      <c r="A2059" s="527"/>
      <c r="B2059" s="385" t="s">
        <v>298</v>
      </c>
      <c r="C2059" s="399" t="s">
        <v>2518</v>
      </c>
      <c r="D2059" s="399" t="s">
        <v>1830</v>
      </c>
      <c r="E2059" s="571"/>
      <c r="F2059" s="385" t="s">
        <v>2169</v>
      </c>
      <c r="G2059" s="385"/>
      <c r="H2059" s="385" t="s">
        <v>2543</v>
      </c>
      <c r="I2059" s="385" t="s">
        <v>163</v>
      </c>
      <c r="J2059" s="489" t="s">
        <v>366</v>
      </c>
      <c r="K2059" s="450"/>
      <c r="L2059" s="450"/>
      <c r="M2059" s="490" t="s">
        <v>37</v>
      </c>
      <c r="N2059" s="490">
        <v>2</v>
      </c>
    </row>
    <row r="2060" spans="1:14" ht="60.75" hidden="1" customHeight="1" outlineLevel="2">
      <c r="A2060" s="527"/>
      <c r="B2060" s="385" t="s">
        <v>237</v>
      </c>
      <c r="C2060" s="399" t="s">
        <v>2518</v>
      </c>
      <c r="D2060" s="399" t="s">
        <v>1830</v>
      </c>
      <c r="E2060" s="571"/>
      <c r="F2060" s="385" t="s">
        <v>2169</v>
      </c>
      <c r="G2060" s="385"/>
      <c r="H2060" s="385" t="s">
        <v>2475</v>
      </c>
      <c r="I2060" s="385" t="s">
        <v>217</v>
      </c>
      <c r="J2060" s="489" t="s">
        <v>366</v>
      </c>
      <c r="K2060" s="450"/>
      <c r="L2060" s="450"/>
      <c r="M2060" s="490" t="s">
        <v>37</v>
      </c>
      <c r="N2060" s="490">
        <v>6</v>
      </c>
    </row>
    <row r="2061" spans="1:14" ht="60.75" hidden="1" customHeight="1" outlineLevel="2">
      <c r="A2061" s="527"/>
      <c r="B2061" s="385" t="s">
        <v>237</v>
      </c>
      <c r="C2061" s="399" t="s">
        <v>2518</v>
      </c>
      <c r="D2061" s="399" t="s">
        <v>1830</v>
      </c>
      <c r="E2061" s="571"/>
      <c r="F2061" s="385" t="s">
        <v>2169</v>
      </c>
      <c r="G2061" s="385"/>
      <c r="H2061" s="385" t="s">
        <v>2544</v>
      </c>
      <c r="I2061" s="385" t="s">
        <v>208</v>
      </c>
      <c r="J2061" s="489" t="s">
        <v>366</v>
      </c>
      <c r="K2061" s="450"/>
      <c r="L2061" s="450"/>
      <c r="M2061" s="490" t="s">
        <v>37</v>
      </c>
      <c r="N2061" s="490">
        <v>3</v>
      </c>
    </row>
    <row r="2062" spans="1:14" ht="60.75" hidden="1" customHeight="1" outlineLevel="2">
      <c r="A2062" s="527"/>
      <c r="B2062" s="385" t="s">
        <v>298</v>
      </c>
      <c r="C2062" s="399" t="s">
        <v>2518</v>
      </c>
      <c r="D2062" s="399" t="s">
        <v>1830</v>
      </c>
      <c r="E2062" s="571"/>
      <c r="F2062" s="385" t="s">
        <v>2169</v>
      </c>
      <c r="G2062" s="385"/>
      <c r="H2062" s="385" t="s">
        <v>2545</v>
      </c>
      <c r="I2062" s="385" t="s">
        <v>191</v>
      </c>
      <c r="J2062" s="489" t="s">
        <v>366</v>
      </c>
      <c r="K2062" s="450"/>
      <c r="L2062" s="450"/>
      <c r="M2062" s="490" t="s">
        <v>37</v>
      </c>
      <c r="N2062" s="490">
        <v>3</v>
      </c>
    </row>
    <row r="2063" spans="1:14" ht="60.75" hidden="1" customHeight="1" outlineLevel="2">
      <c r="A2063" s="527"/>
      <c r="B2063" s="385" t="s">
        <v>298</v>
      </c>
      <c r="C2063" s="399" t="s">
        <v>2518</v>
      </c>
      <c r="D2063" s="399" t="s">
        <v>1830</v>
      </c>
      <c r="E2063" s="572"/>
      <c r="F2063" s="385" t="s">
        <v>2169</v>
      </c>
      <c r="G2063" s="385"/>
      <c r="H2063" s="385" t="s">
        <v>2546</v>
      </c>
      <c r="I2063" s="385" t="s">
        <v>234</v>
      </c>
      <c r="J2063" s="489" t="s">
        <v>366</v>
      </c>
      <c r="K2063" s="450"/>
      <c r="L2063" s="450"/>
      <c r="M2063" s="490" t="s">
        <v>37</v>
      </c>
      <c r="N2063" s="490">
        <v>1</v>
      </c>
    </row>
    <row r="2064" spans="1:14" s="394" customFormat="1" ht="81" outlineLevel="1" collapsed="1">
      <c r="A2064" s="554" t="s">
        <v>1328</v>
      </c>
      <c r="B2064" s="385" t="s">
        <v>237</v>
      </c>
      <c r="C2064" s="399" t="s">
        <v>2518</v>
      </c>
      <c r="D2064" s="399" t="s">
        <v>1830</v>
      </c>
      <c r="E2064" s="385"/>
      <c r="F2064" s="385" t="s">
        <v>2169</v>
      </c>
      <c r="G2064" s="385"/>
      <c r="H2064" s="401" t="s">
        <v>2547</v>
      </c>
      <c r="I2064" s="385" t="str">
        <f>CONCATENATE(I2065," ","(",H2065,")","-",N2065," ",M2065," ",I2066,"  ","(",H2066,")","-",N2066," ",M2066," ","(",H2067,")","-",N2067," ",M2067," ",)</f>
        <v xml:space="preserve">Ремонт трансформаторов напряжения 110 кВ (НКФ-110 ТН 110 С-74, ТН 110 С-99, ТН 110 1с, ТН 110 2с)-8 шт. Ремонт выключателей 6-10 кВ  (ВМПЭ-10 В 10 яч 30)-1 шт. ( НАМИ-10 ТН 10 1с:)-1 шт. </v>
      </c>
      <c r="J2064" s="489"/>
      <c r="K2064" s="450">
        <v>44256</v>
      </c>
      <c r="L2064" s="450">
        <v>44347</v>
      </c>
      <c r="M2064" s="490"/>
      <c r="N2064" s="490"/>
    </row>
    <row r="2065" spans="1:14" ht="60.75" hidden="1" customHeight="1" outlineLevel="2">
      <c r="A2065" s="527"/>
      <c r="B2065" s="385" t="s">
        <v>237</v>
      </c>
      <c r="C2065" s="399" t="s">
        <v>2518</v>
      </c>
      <c r="D2065" s="399" t="s">
        <v>1830</v>
      </c>
      <c r="E2065" s="570" t="s">
        <v>2548</v>
      </c>
      <c r="F2065" s="385" t="s">
        <v>2169</v>
      </c>
      <c r="G2065" s="385"/>
      <c r="H2065" s="385" t="s">
        <v>2549</v>
      </c>
      <c r="I2065" s="385" t="s">
        <v>217</v>
      </c>
      <c r="J2065" s="489" t="s">
        <v>366</v>
      </c>
      <c r="K2065" s="450"/>
      <c r="L2065" s="450"/>
      <c r="M2065" s="490" t="s">
        <v>37</v>
      </c>
      <c r="N2065" s="490">
        <v>8</v>
      </c>
    </row>
    <row r="2066" spans="1:14" ht="60.75" hidden="1" customHeight="1" outlineLevel="2">
      <c r="A2066" s="527"/>
      <c r="B2066" s="385" t="s">
        <v>298</v>
      </c>
      <c r="C2066" s="399" t="s">
        <v>2518</v>
      </c>
      <c r="D2066" s="399" t="s">
        <v>1830</v>
      </c>
      <c r="E2066" s="571"/>
      <c r="F2066" s="385" t="s">
        <v>2169</v>
      </c>
      <c r="G2066" s="385"/>
      <c r="H2066" s="385" t="s">
        <v>2550</v>
      </c>
      <c r="I2066" s="385" t="s">
        <v>191</v>
      </c>
      <c r="J2066" s="489" t="s">
        <v>366</v>
      </c>
      <c r="K2066" s="450"/>
      <c r="L2066" s="450"/>
      <c r="M2066" s="490" t="s">
        <v>37</v>
      </c>
      <c r="N2066" s="490">
        <v>1</v>
      </c>
    </row>
    <row r="2067" spans="1:14" ht="60.75" hidden="1" customHeight="1" outlineLevel="2">
      <c r="A2067" s="527"/>
      <c r="B2067" s="385" t="s">
        <v>298</v>
      </c>
      <c r="C2067" s="399" t="s">
        <v>2518</v>
      </c>
      <c r="D2067" s="399" t="s">
        <v>1830</v>
      </c>
      <c r="E2067" s="572"/>
      <c r="F2067" s="385" t="s">
        <v>2169</v>
      </c>
      <c r="G2067" s="385"/>
      <c r="H2067" s="385" t="s">
        <v>2551</v>
      </c>
      <c r="I2067" s="385" t="s">
        <v>234</v>
      </c>
      <c r="J2067" s="489" t="s">
        <v>366</v>
      </c>
      <c r="K2067" s="450"/>
      <c r="L2067" s="450"/>
      <c r="M2067" s="490" t="s">
        <v>37</v>
      </c>
      <c r="N2067" s="490">
        <v>1</v>
      </c>
    </row>
    <row r="2068" spans="1:14" s="394" customFormat="1" ht="101.25" outlineLevel="1" collapsed="1">
      <c r="A2068" s="554" t="s">
        <v>1329</v>
      </c>
      <c r="B2068" s="459" t="s">
        <v>237</v>
      </c>
      <c r="C2068" s="459" t="s">
        <v>2518</v>
      </c>
      <c r="D2068" s="459" t="s">
        <v>1830</v>
      </c>
      <c r="E2068" s="459"/>
      <c r="F2068" s="459" t="s">
        <v>2169</v>
      </c>
      <c r="G2068" s="385"/>
      <c r="H2068" s="401" t="s">
        <v>2552</v>
      </c>
      <c r="I2068" s="385" t="str">
        <f>CONCATENATE(I2069," ","(",H2069,")","-",N2069," ",M2069," ",I2070," ","(",H2070,")","-",N2070," ",M2070," ",I2071," ","(",H2071,")","-",N2071," ",M2071," ",I2072," ","(",H2072,")","-",N2072," ",M2072," ",)</f>
        <v xml:space="preserve">Ремонт трансформаторов 110 кВ (ТМН-2500/110 1Т)-1 шт. Ремонт выключателей 110 кВ (ВМТ-110Б В 110 С-110)-1 шт. Ремонт разъединителей 110 кВ  (ЗОН-110М ЗОН 110 1Т, ЗОН 110 2Т)-2 шт. Ремонт разъединителей 6-10 кВ  (РВ-10 ШР 10 1ТСН, ШР 10 2ТСН)-2 шт. </v>
      </c>
      <c r="J2068" s="489"/>
      <c r="K2068" s="450">
        <v>44378</v>
      </c>
      <c r="L2068" s="450">
        <v>44408</v>
      </c>
      <c r="M2068" s="490"/>
      <c r="N2068" s="490"/>
    </row>
    <row r="2069" spans="1:14" ht="60.75" hidden="1" customHeight="1" outlineLevel="2">
      <c r="A2069" s="527"/>
      <c r="B2069" s="385" t="s">
        <v>237</v>
      </c>
      <c r="C2069" s="459" t="s">
        <v>2518</v>
      </c>
      <c r="D2069" s="459" t="s">
        <v>1830</v>
      </c>
      <c r="E2069" s="570" t="s">
        <v>2554</v>
      </c>
      <c r="F2069" s="459" t="s">
        <v>2169</v>
      </c>
      <c r="G2069" s="459"/>
      <c r="H2069" s="459" t="s">
        <v>2553</v>
      </c>
      <c r="I2069" s="459" t="s">
        <v>156</v>
      </c>
      <c r="J2069" s="529" t="s">
        <v>366</v>
      </c>
      <c r="K2069" s="474"/>
      <c r="L2069" s="474"/>
      <c r="M2069" s="530" t="s">
        <v>37</v>
      </c>
      <c r="N2069" s="530">
        <v>1</v>
      </c>
    </row>
    <row r="2070" spans="1:14" ht="60.75" hidden="1" customHeight="1" outlineLevel="2">
      <c r="A2070" s="527"/>
      <c r="B2070" s="385" t="s">
        <v>237</v>
      </c>
      <c r="C2070" s="399" t="s">
        <v>2518</v>
      </c>
      <c r="D2070" s="399" t="s">
        <v>1830</v>
      </c>
      <c r="E2070" s="571"/>
      <c r="F2070" s="385" t="s">
        <v>2169</v>
      </c>
      <c r="G2070" s="385"/>
      <c r="H2070" s="385" t="s">
        <v>2555</v>
      </c>
      <c r="I2070" s="385" t="s">
        <v>186</v>
      </c>
      <c r="J2070" s="489" t="s">
        <v>366</v>
      </c>
      <c r="K2070" s="450"/>
      <c r="L2070" s="450"/>
      <c r="M2070" s="490" t="s">
        <v>37</v>
      </c>
      <c r="N2070" s="490">
        <v>1</v>
      </c>
    </row>
    <row r="2071" spans="1:14" ht="60.75" hidden="1" customHeight="1" outlineLevel="2">
      <c r="A2071" s="527"/>
      <c r="B2071" s="385" t="s">
        <v>237</v>
      </c>
      <c r="C2071" s="399" t="s">
        <v>2518</v>
      </c>
      <c r="D2071" s="399" t="s">
        <v>1830</v>
      </c>
      <c r="E2071" s="571"/>
      <c r="F2071" s="385" t="s">
        <v>2169</v>
      </c>
      <c r="G2071" s="385"/>
      <c r="H2071" s="385" t="s">
        <v>2494</v>
      </c>
      <c r="I2071" s="385" t="s">
        <v>199</v>
      </c>
      <c r="J2071" s="489" t="s">
        <v>366</v>
      </c>
      <c r="K2071" s="450"/>
      <c r="L2071" s="450"/>
      <c r="M2071" s="490" t="s">
        <v>37</v>
      </c>
      <c r="N2071" s="490">
        <v>2</v>
      </c>
    </row>
    <row r="2072" spans="1:14" ht="60.75" hidden="1" customHeight="1" outlineLevel="2">
      <c r="A2072" s="527"/>
      <c r="B2072" s="385" t="s">
        <v>298</v>
      </c>
      <c r="C2072" s="399" t="s">
        <v>2518</v>
      </c>
      <c r="D2072" s="399" t="s">
        <v>1830</v>
      </c>
      <c r="E2072" s="572"/>
      <c r="F2072" s="385" t="s">
        <v>2169</v>
      </c>
      <c r="G2072" s="385"/>
      <c r="H2072" s="385" t="s">
        <v>2464</v>
      </c>
      <c r="I2072" s="402" t="s">
        <v>2556</v>
      </c>
      <c r="J2072" s="489" t="s">
        <v>366</v>
      </c>
      <c r="K2072" s="450"/>
      <c r="L2072" s="450"/>
      <c r="M2072" s="490" t="s">
        <v>37</v>
      </c>
      <c r="N2072" s="490">
        <v>2</v>
      </c>
    </row>
    <row r="2073" spans="1:14" s="394" customFormat="1" ht="81" outlineLevel="1" collapsed="1">
      <c r="A2073" s="554" t="s">
        <v>1330</v>
      </c>
      <c r="B2073" s="459" t="s">
        <v>237</v>
      </c>
      <c r="C2073" s="459" t="s">
        <v>2518</v>
      </c>
      <c r="D2073" s="459" t="s">
        <v>1830</v>
      </c>
      <c r="E2073" s="459"/>
      <c r="F2073" s="459" t="s">
        <v>2169</v>
      </c>
      <c r="G2073" s="385"/>
      <c r="H2073" s="401" t="s">
        <v>2557</v>
      </c>
      <c r="I2073" s="385" t="str">
        <f>CONCATENATE(I2074," ","(",H2074,")","-",N2074," ",M2074," ",I2075,"  ","(",H2075,")","-",N2075," ",M2075," ","(",H2076,")","-",N2076," ",M2076," ",)</f>
        <v xml:space="preserve">Ремонт трансформаторов 110 кВ (1Т, 2Т: ТМН-6300/110)-2 шт. Ремонт трансформаторов СН  (2ТСН 10: ТМ-100/10)-1 шт. (1ТН 10 2с, 1ТН 10 1с, 2ТН 10 2с, 2ТН 10 1с: НОМ-10)-12 шт. </v>
      </c>
      <c r="J2073" s="489"/>
      <c r="K2073" s="450">
        <v>44256</v>
      </c>
      <c r="L2073" s="450">
        <v>44377</v>
      </c>
      <c r="M2073" s="490"/>
      <c r="N2073" s="490"/>
    </row>
    <row r="2074" spans="1:14" ht="60.75" hidden="1" customHeight="1" outlineLevel="2">
      <c r="A2074" s="527"/>
      <c r="B2074" s="385" t="s">
        <v>237</v>
      </c>
      <c r="C2074" s="399" t="s">
        <v>2518</v>
      </c>
      <c r="D2074" s="399" t="s">
        <v>1830</v>
      </c>
      <c r="E2074" s="570" t="s">
        <v>2558</v>
      </c>
      <c r="F2074" s="385" t="s">
        <v>2169</v>
      </c>
      <c r="G2074" s="385"/>
      <c r="H2074" s="385" t="s">
        <v>2559</v>
      </c>
      <c r="I2074" s="385" t="s">
        <v>156</v>
      </c>
      <c r="J2074" s="489" t="s">
        <v>366</v>
      </c>
      <c r="K2074" s="450"/>
      <c r="L2074" s="450"/>
      <c r="M2074" s="490" t="s">
        <v>37</v>
      </c>
      <c r="N2074" s="490">
        <v>2</v>
      </c>
    </row>
    <row r="2075" spans="1:14" ht="60.75" hidden="1" customHeight="1" outlineLevel="2">
      <c r="A2075" s="527"/>
      <c r="B2075" s="385" t="s">
        <v>298</v>
      </c>
      <c r="C2075" s="399" t="s">
        <v>2518</v>
      </c>
      <c r="D2075" s="399" t="s">
        <v>1830</v>
      </c>
      <c r="E2075" s="571"/>
      <c r="F2075" s="385" t="s">
        <v>2169</v>
      </c>
      <c r="G2075" s="385"/>
      <c r="H2075" s="385" t="s">
        <v>2560</v>
      </c>
      <c r="I2075" s="385" t="s">
        <v>163</v>
      </c>
      <c r="J2075" s="489" t="s">
        <v>366</v>
      </c>
      <c r="K2075" s="450"/>
      <c r="L2075" s="450"/>
      <c r="M2075" s="490" t="s">
        <v>37</v>
      </c>
      <c r="N2075" s="490">
        <v>1</v>
      </c>
    </row>
    <row r="2076" spans="1:14" ht="60.75" hidden="1" customHeight="1" outlineLevel="2">
      <c r="A2076" s="527"/>
      <c r="B2076" s="385" t="s">
        <v>298</v>
      </c>
      <c r="C2076" s="399" t="s">
        <v>2518</v>
      </c>
      <c r="D2076" s="399" t="s">
        <v>1830</v>
      </c>
      <c r="E2076" s="572"/>
      <c r="F2076" s="385" t="s">
        <v>2169</v>
      </c>
      <c r="G2076" s="385"/>
      <c r="H2076" s="385" t="s">
        <v>2561</v>
      </c>
      <c r="I2076" s="385" t="s">
        <v>234</v>
      </c>
      <c r="J2076" s="489" t="s">
        <v>366</v>
      </c>
      <c r="K2076" s="450"/>
      <c r="L2076" s="450"/>
      <c r="M2076" s="490" t="s">
        <v>37</v>
      </c>
      <c r="N2076" s="490">
        <v>12</v>
      </c>
    </row>
    <row r="2077" spans="1:14" s="394" customFormat="1" ht="141.75" outlineLevel="1" collapsed="1">
      <c r="A2077" s="554" t="s">
        <v>1760</v>
      </c>
      <c r="B2077" s="459" t="s">
        <v>237</v>
      </c>
      <c r="C2077" s="459" t="s">
        <v>2518</v>
      </c>
      <c r="D2077" s="459" t="s">
        <v>1830</v>
      </c>
      <c r="E2077" s="459"/>
      <c r="F2077" s="459" t="s">
        <v>2169</v>
      </c>
      <c r="G2077" s="385"/>
      <c r="H2077" s="401" t="s">
        <v>2562</v>
      </c>
      <c r="I2077" s="385" t="str">
        <f>CONCATENATE(I2078," ","(",H2078,")","-",N2078," ",M2078," ",I2079,"  ","(",H2079,")","-",N2079," ",M2079," ",)</f>
        <v xml:space="preserve">Ремонт трансформаторов 110 кВ (ТДН-10000/110 1Т, 2Т)-2 шт. Ремонт разъединителей 110 кВ   ( ЗОН-110М ЗОН 110 1Т, ЗОН 110 2Т:
РНДЗ-110 ЛР 110 С-74, СР 110 1с, СР 110 2с, ШР 110 С-74
ОДЗ-110М ОД 110 1Т, ОД 110 2Т
КЗ-110М КЗ 110 1Т, КЗ 110 2Т)-10 шт. </v>
      </c>
      <c r="J2077" s="489"/>
      <c r="K2077" s="450">
        <v>44440</v>
      </c>
      <c r="L2077" s="450">
        <v>44500</v>
      </c>
      <c r="M2077" s="490"/>
      <c r="N2077" s="490"/>
    </row>
    <row r="2078" spans="1:14" ht="60.75" hidden="1" customHeight="1" outlineLevel="2">
      <c r="A2078" s="527"/>
      <c r="B2078" s="385" t="s">
        <v>237</v>
      </c>
      <c r="C2078" s="399" t="s">
        <v>2518</v>
      </c>
      <c r="D2078" s="399" t="s">
        <v>1830</v>
      </c>
      <c r="E2078" s="570" t="s">
        <v>2563</v>
      </c>
      <c r="F2078" s="385" t="s">
        <v>2169</v>
      </c>
      <c r="G2078" s="385"/>
      <c r="H2078" s="385" t="s">
        <v>2564</v>
      </c>
      <c r="I2078" s="385" t="s">
        <v>156</v>
      </c>
      <c r="J2078" s="489" t="s">
        <v>366</v>
      </c>
      <c r="K2078" s="450"/>
      <c r="L2078" s="450"/>
      <c r="M2078" s="490" t="s">
        <v>37</v>
      </c>
      <c r="N2078" s="490">
        <v>2</v>
      </c>
    </row>
    <row r="2079" spans="1:14" ht="81" hidden="1" customHeight="1" outlineLevel="2">
      <c r="A2079" s="527"/>
      <c r="B2079" s="385" t="s">
        <v>237</v>
      </c>
      <c r="C2079" s="399" t="s">
        <v>2518</v>
      </c>
      <c r="D2079" s="399" t="s">
        <v>1830</v>
      </c>
      <c r="E2079" s="572"/>
      <c r="F2079" s="385" t="s">
        <v>2169</v>
      </c>
      <c r="G2079" s="385"/>
      <c r="H2079" s="385" t="s">
        <v>2565</v>
      </c>
      <c r="I2079" s="385" t="s">
        <v>199</v>
      </c>
      <c r="J2079" s="489" t="s">
        <v>366</v>
      </c>
      <c r="K2079" s="450"/>
      <c r="L2079" s="450"/>
      <c r="M2079" s="490" t="s">
        <v>37</v>
      </c>
      <c r="N2079" s="490">
        <v>10</v>
      </c>
    </row>
    <row r="2080" spans="1:14" s="394" customFormat="1" ht="283.5" outlineLevel="1" collapsed="1">
      <c r="A2080" s="554" t="s">
        <v>1331</v>
      </c>
      <c r="B2080" s="459" t="s">
        <v>237</v>
      </c>
      <c r="C2080" s="459" t="s">
        <v>2518</v>
      </c>
      <c r="D2080" s="459" t="s">
        <v>1830</v>
      </c>
      <c r="E2080" s="459"/>
      <c r="F2080" s="459" t="s">
        <v>2566</v>
      </c>
      <c r="G2080" s="385"/>
      <c r="H2080" s="401" t="s">
        <v>2567</v>
      </c>
      <c r="I2080" s="385" t="str">
        <f>CONCATENATE(I2081," ","(",H2081,")","-",N2081," ",M2081," ",I2082,"  ","(",H2082,")","-",N2082," ",M2082," ",I2083," ","(",H2083,")","-",N2083," ",M2083," ",I2084," ","(",H2084,")","-",N2084," ",M2084," ",I2085," ","(",H2085,")","-",N2085," ",M2085," ",I2086," ","(",H2086,")","-",N2086," ",M2086," ",I2087," ","(",H2087,")","-",N2087," ",M2087," ",)</f>
        <v xml:space="preserve">Замена трансформаторов напряжения 6-10 кВ. (НТМИ-10 на НАМИ 10-95 ТН 10 1с)-1 шт. Ремонт разъединителей 110 кВ   (РНДЗ-110 СР 110 1с, СР 110 2с )-2 шт. Замена опорно-стержневых изоляторов разъединителей 110 кВ (РНДЗ-110 СР 110 1с, СР 110 2с)-12 шт. Ремонт трансформаторов 110 кВ (ТМТН-6300/110 1Т, 2Т)-2 шт  Ремонт трансформаторов тока 35 кВ (ТФЗМ-110Б ТТ 110 1Т)-3 шт  Ремонт разъединителей 110 кВ  (ЗОН-110М ЗОН 110 1Т, ЗОН 110 2Т
РНДЗ-110 ЛР 110 С-110, РРП 110 С-110
ОДЗ-110 ОД 110 1Т, ОД 110 2Т
КЗ-110М КЗ 110 1Т, КЗ 110 2Т)-8 шт  Ремонт выключателей 6-10 кВ (ВК-10 В 10 яч 5)-1 шт  </v>
      </c>
      <c r="J2080" s="489"/>
      <c r="K2080" s="450">
        <v>44378</v>
      </c>
      <c r="L2080" s="450" t="s">
        <v>2332</v>
      </c>
      <c r="M2080" s="490"/>
      <c r="N2080" s="490"/>
    </row>
    <row r="2081" spans="1:14" ht="60.75" hidden="1" outlineLevel="2">
      <c r="A2081" s="527"/>
      <c r="B2081" s="385" t="s">
        <v>298</v>
      </c>
      <c r="C2081" s="459" t="s">
        <v>2518</v>
      </c>
      <c r="D2081" s="399" t="s">
        <v>1830</v>
      </c>
      <c r="E2081" s="520" t="s">
        <v>2568</v>
      </c>
      <c r="F2081" s="385" t="s">
        <v>2161</v>
      </c>
      <c r="G2081" s="385" t="s">
        <v>2499</v>
      </c>
      <c r="H2081" s="385" t="s">
        <v>2541</v>
      </c>
      <c r="I2081" s="385" t="s">
        <v>224</v>
      </c>
      <c r="J2081" s="529" t="s">
        <v>365</v>
      </c>
      <c r="K2081" s="474"/>
      <c r="L2081" s="474"/>
      <c r="M2081" s="530" t="s">
        <v>37</v>
      </c>
      <c r="N2081" s="530">
        <v>1</v>
      </c>
    </row>
    <row r="2082" spans="1:14" ht="60.75" hidden="1" customHeight="1" outlineLevel="2">
      <c r="A2082" s="527"/>
      <c r="B2082" s="385" t="s">
        <v>237</v>
      </c>
      <c r="C2082" s="459" t="s">
        <v>2518</v>
      </c>
      <c r="D2082" s="459" t="s">
        <v>1830</v>
      </c>
      <c r="E2082" s="570" t="s">
        <v>2569</v>
      </c>
      <c r="F2082" s="459" t="s">
        <v>2169</v>
      </c>
      <c r="G2082" s="459"/>
      <c r="H2082" s="459" t="s">
        <v>2570</v>
      </c>
      <c r="I2082" s="385" t="s">
        <v>199</v>
      </c>
      <c r="J2082" s="529" t="s">
        <v>365</v>
      </c>
      <c r="K2082" s="474"/>
      <c r="L2082" s="474"/>
      <c r="M2082" s="530" t="s">
        <v>37</v>
      </c>
      <c r="N2082" s="530">
        <v>2</v>
      </c>
    </row>
    <row r="2083" spans="1:14" ht="60.75" hidden="1" customHeight="1" outlineLevel="2">
      <c r="A2083" s="527"/>
      <c r="B2083" s="385" t="s">
        <v>237</v>
      </c>
      <c r="C2083" s="459" t="s">
        <v>2518</v>
      </c>
      <c r="D2083" s="459" t="s">
        <v>1830</v>
      </c>
      <c r="E2083" s="572"/>
      <c r="F2083" s="385" t="s">
        <v>1211</v>
      </c>
      <c r="G2083" s="385" t="s">
        <v>2496</v>
      </c>
      <c r="H2083" s="459" t="s">
        <v>2571</v>
      </c>
      <c r="I2083" s="385" t="s">
        <v>119</v>
      </c>
      <c r="J2083" s="529" t="s">
        <v>365</v>
      </c>
      <c r="K2083" s="474"/>
      <c r="L2083" s="474"/>
      <c r="M2083" s="530" t="s">
        <v>37</v>
      </c>
      <c r="N2083" s="530">
        <v>12</v>
      </c>
    </row>
    <row r="2084" spans="1:14" ht="60.75" hidden="1" outlineLevel="2">
      <c r="A2084" s="527"/>
      <c r="B2084" s="385" t="s">
        <v>237</v>
      </c>
      <c r="C2084" s="459" t="s">
        <v>2518</v>
      </c>
      <c r="D2084" s="459" t="s">
        <v>1830</v>
      </c>
      <c r="E2084" s="469" t="s">
        <v>2572</v>
      </c>
      <c r="F2084" s="459" t="s">
        <v>2169</v>
      </c>
      <c r="G2084" s="459"/>
      <c r="H2084" s="459" t="s">
        <v>2573</v>
      </c>
      <c r="I2084" s="385" t="s">
        <v>156</v>
      </c>
      <c r="J2084" s="489" t="s">
        <v>366</v>
      </c>
      <c r="K2084" s="474"/>
      <c r="L2084" s="474"/>
      <c r="M2084" s="530" t="s">
        <v>2574</v>
      </c>
      <c r="N2084" s="530">
        <v>2</v>
      </c>
    </row>
    <row r="2085" spans="1:14" ht="60.75" hidden="1" customHeight="1" outlineLevel="2">
      <c r="A2085" s="527"/>
      <c r="B2085" s="385" t="s">
        <v>237</v>
      </c>
      <c r="C2085" s="459" t="s">
        <v>2518</v>
      </c>
      <c r="D2085" s="459" t="s">
        <v>1830</v>
      </c>
      <c r="E2085" s="567" t="s">
        <v>2575</v>
      </c>
      <c r="F2085" s="459" t="s">
        <v>2169</v>
      </c>
      <c r="G2085" s="459"/>
      <c r="H2085" s="459" t="s">
        <v>2576</v>
      </c>
      <c r="I2085" s="385" t="s">
        <v>210</v>
      </c>
      <c r="J2085" s="489" t="s">
        <v>366</v>
      </c>
      <c r="K2085" s="474"/>
      <c r="L2085" s="474"/>
      <c r="M2085" s="530" t="s">
        <v>2574</v>
      </c>
      <c r="N2085" s="530">
        <v>3</v>
      </c>
    </row>
    <row r="2086" spans="1:14" ht="81" hidden="1" customHeight="1" outlineLevel="2">
      <c r="A2086" s="527"/>
      <c r="B2086" s="385" t="s">
        <v>237</v>
      </c>
      <c r="C2086" s="459" t="s">
        <v>2518</v>
      </c>
      <c r="D2086" s="459" t="s">
        <v>1830</v>
      </c>
      <c r="E2086" s="568"/>
      <c r="F2086" s="459" t="s">
        <v>2169</v>
      </c>
      <c r="G2086" s="459"/>
      <c r="H2086" s="459" t="s">
        <v>2577</v>
      </c>
      <c r="I2086" s="385" t="s">
        <v>199</v>
      </c>
      <c r="J2086" s="489" t="s">
        <v>366</v>
      </c>
      <c r="K2086" s="474"/>
      <c r="L2086" s="474"/>
      <c r="M2086" s="530" t="s">
        <v>2574</v>
      </c>
      <c r="N2086" s="530">
        <v>8</v>
      </c>
    </row>
    <row r="2087" spans="1:14" ht="60.75" hidden="1" customHeight="1" outlineLevel="2">
      <c r="A2087" s="527"/>
      <c r="B2087" s="385" t="s">
        <v>298</v>
      </c>
      <c r="C2087" s="459" t="s">
        <v>2518</v>
      </c>
      <c r="D2087" s="459" t="s">
        <v>1830</v>
      </c>
      <c r="E2087" s="569"/>
      <c r="F2087" s="459" t="s">
        <v>2169</v>
      </c>
      <c r="G2087" s="459"/>
      <c r="H2087" s="459" t="s">
        <v>2578</v>
      </c>
      <c r="I2087" s="385" t="s">
        <v>191</v>
      </c>
      <c r="J2087" s="489" t="s">
        <v>366</v>
      </c>
      <c r="K2087" s="474"/>
      <c r="L2087" s="474"/>
      <c r="M2087" s="530" t="s">
        <v>2574</v>
      </c>
      <c r="N2087" s="530">
        <v>1</v>
      </c>
    </row>
    <row r="2088" spans="1:14" s="394" customFormat="1" ht="222.75" outlineLevel="1" collapsed="1">
      <c r="A2088" s="554" t="s">
        <v>1332</v>
      </c>
      <c r="B2088" s="459" t="s">
        <v>237</v>
      </c>
      <c r="C2088" s="459" t="s">
        <v>2126</v>
      </c>
      <c r="D2088" s="459" t="s">
        <v>1830</v>
      </c>
      <c r="E2088" s="459"/>
      <c r="F2088" s="459" t="s">
        <v>2579</v>
      </c>
      <c r="G2088" s="385"/>
      <c r="H2088" s="401" t="s">
        <v>2459</v>
      </c>
      <c r="I2088" s="385" t="str">
        <f>CONCATENATE(I2090,"  ","(",H2090,")","-",N2090," ",M2090," ",I2091," ","(",H2091,")","-",N2091," ",M2091," ",I2092," ","(",H2092,")","-",N2092," ",M2092," ")</f>
        <v xml:space="preserve">Ремонт выключателей 35 кВ  (МКП-35, С-35М  В 35 1Т, В 35 2Т, СВ 35, В 35 Т-185, В 35 Т-186, В 35 Т-171, В 35 Т-170)-7 шт. Ремонт разъединителей 110 кВ  ( РНДЗ-110 ШР 110 С-98, ШР 110 1Т, СР 110 1с, СР 110 2с, ШР 110 С-97, ШР 110  2Т, ЛР 110 С-98, ЛР 110 С-97, ШР 110 ТН 1с, ШР 110 ТН 2с
ЗОН-110М ЗОН 110 1Т, ЗОН 110 2Т)-12 шт. Ремонт разъединителей 35 кВ (РНДЗ-35 ШР 35 Т-171, ШР 35 Т-170,  ШР 35 Т-185, ШР 35 Т-186, ЛР 35 Т-171, ЛР 35 Т-170, ЛР 35 Т-186, ЛР 35 Т-185
РОН-35 РРК 35 1Т, РРК 35 2Т)-10 шт. </v>
      </c>
      <c r="J2088" s="489"/>
      <c r="K2088" s="450">
        <v>44409</v>
      </c>
      <c r="L2088" s="450">
        <v>44530</v>
      </c>
      <c r="M2088" s="490"/>
      <c r="N2088" s="490"/>
    </row>
    <row r="2089" spans="1:14" ht="60.75" hidden="1" outlineLevel="2">
      <c r="A2089" s="527"/>
      <c r="B2089" s="385" t="s">
        <v>298</v>
      </c>
      <c r="C2089" s="399" t="s">
        <v>2126</v>
      </c>
      <c r="D2089" s="399" t="s">
        <v>1830</v>
      </c>
      <c r="E2089" s="520" t="s">
        <v>2580</v>
      </c>
      <c r="F2089" s="385" t="s">
        <v>2161</v>
      </c>
      <c r="G2089" s="385" t="s">
        <v>2499</v>
      </c>
      <c r="H2089" s="385" t="s">
        <v>2581</v>
      </c>
      <c r="I2089" s="385" t="s">
        <v>224</v>
      </c>
      <c r="J2089" s="529" t="s">
        <v>365</v>
      </c>
      <c r="K2089" s="474"/>
      <c r="L2089" s="474"/>
      <c r="M2089" s="530" t="s">
        <v>37</v>
      </c>
      <c r="N2089" s="530">
        <v>1</v>
      </c>
    </row>
    <row r="2090" spans="1:14" ht="40.5" hidden="1" customHeight="1" outlineLevel="2">
      <c r="A2090" s="527"/>
      <c r="B2090" s="385" t="s">
        <v>300</v>
      </c>
      <c r="C2090" s="399" t="s">
        <v>2126</v>
      </c>
      <c r="D2090" s="399" t="s">
        <v>1830</v>
      </c>
      <c r="E2090" s="570" t="s">
        <v>2582</v>
      </c>
      <c r="F2090" s="385" t="s">
        <v>2169</v>
      </c>
      <c r="G2090" s="385"/>
      <c r="H2090" s="385" t="s">
        <v>2583</v>
      </c>
      <c r="I2090" s="385" t="s">
        <v>189</v>
      </c>
      <c r="J2090" s="529" t="s">
        <v>366</v>
      </c>
      <c r="K2090" s="474"/>
      <c r="L2090" s="474"/>
      <c r="M2090" s="530" t="s">
        <v>37</v>
      </c>
      <c r="N2090" s="530">
        <v>7</v>
      </c>
    </row>
    <row r="2091" spans="1:14" ht="81" hidden="1" customHeight="1" outlineLevel="2">
      <c r="A2091" s="527"/>
      <c r="B2091" s="385" t="s">
        <v>237</v>
      </c>
      <c r="C2091" s="399" t="s">
        <v>2126</v>
      </c>
      <c r="D2091" s="399" t="s">
        <v>1830</v>
      </c>
      <c r="E2091" s="571"/>
      <c r="F2091" s="385" t="s">
        <v>2169</v>
      </c>
      <c r="G2091" s="385"/>
      <c r="H2091" s="385" t="s">
        <v>2584</v>
      </c>
      <c r="I2091" s="385" t="s">
        <v>199</v>
      </c>
      <c r="J2091" s="529" t="s">
        <v>366</v>
      </c>
      <c r="K2091" s="474"/>
      <c r="L2091" s="474"/>
      <c r="M2091" s="530" t="s">
        <v>37</v>
      </c>
      <c r="N2091" s="530">
        <v>12</v>
      </c>
    </row>
    <row r="2092" spans="1:14" ht="60.75" hidden="1" customHeight="1" outlineLevel="2">
      <c r="A2092" s="527"/>
      <c r="B2092" s="385" t="s">
        <v>300</v>
      </c>
      <c r="C2092" s="399" t="s">
        <v>2126</v>
      </c>
      <c r="D2092" s="399" t="s">
        <v>1830</v>
      </c>
      <c r="E2092" s="572"/>
      <c r="F2092" s="385" t="s">
        <v>2169</v>
      </c>
      <c r="G2092" s="385"/>
      <c r="H2092" s="385" t="s">
        <v>2585</v>
      </c>
      <c r="I2092" s="385" t="s">
        <v>201</v>
      </c>
      <c r="J2092" s="529" t="s">
        <v>366</v>
      </c>
      <c r="K2092" s="450"/>
      <c r="L2092" s="450"/>
      <c r="M2092" s="530" t="s">
        <v>37</v>
      </c>
      <c r="N2092" s="490">
        <v>10</v>
      </c>
    </row>
    <row r="2093" spans="1:14" s="394" customFormat="1" ht="121.5" outlineLevel="1" collapsed="1">
      <c r="A2093" s="554" t="s">
        <v>1333</v>
      </c>
      <c r="B2093" s="459" t="s">
        <v>237</v>
      </c>
      <c r="C2093" s="459" t="s">
        <v>2126</v>
      </c>
      <c r="D2093" s="459" t="s">
        <v>1830</v>
      </c>
      <c r="E2093" s="459"/>
      <c r="F2093" s="459" t="s">
        <v>2513</v>
      </c>
      <c r="G2093" s="385"/>
      <c r="H2093" s="401" t="s">
        <v>2586</v>
      </c>
      <c r="I2093" s="385" t="str">
        <f>CONCATENATE(I2094," ","(",H2094,")","-",N2094," ",M2094," ",I2095,"  ","(",H2095,")","-",N2095," ",M2095," ","(",H2096,")","-",N2096," ",M2096," ",)</f>
        <v xml:space="preserve">Ремонт разъединителей 110 кВ  (РНДЗ-110 ЛР 110 С-126, ЛР 110 С-125, СР 110 1с, СР 110 2с, ШР 110 1Т, ШР 110 2Т)-6 шт. Замена опорно-стержневых изоляторов разъединителей 110 кВ  (РНДЗ-110 ЛР 110 С-126, СР 110 1с, ШР 110 1Т)-18 шт. (ТДН-16000/110 1Т,  2Т)-2 шт. </v>
      </c>
      <c r="J2093" s="489"/>
      <c r="K2093" s="450">
        <v>44348</v>
      </c>
      <c r="L2093" s="450">
        <v>44408</v>
      </c>
      <c r="M2093" s="490"/>
      <c r="N2093" s="490"/>
    </row>
    <row r="2094" spans="1:14" ht="121.5" hidden="1" outlineLevel="2">
      <c r="A2094" s="527"/>
      <c r="B2094" s="385" t="s">
        <v>237</v>
      </c>
      <c r="C2094" s="399" t="s">
        <v>2126</v>
      </c>
      <c r="D2094" s="399" t="s">
        <v>1830</v>
      </c>
      <c r="E2094" s="385" t="s">
        <v>2587</v>
      </c>
      <c r="F2094" s="385" t="s">
        <v>2169</v>
      </c>
      <c r="G2094" s="385"/>
      <c r="H2094" s="385" t="s">
        <v>2588</v>
      </c>
      <c r="I2094" s="385" t="s">
        <v>199</v>
      </c>
      <c r="J2094" s="529" t="s">
        <v>365</v>
      </c>
      <c r="K2094" s="450"/>
      <c r="L2094" s="450"/>
      <c r="M2094" s="490" t="s">
        <v>37</v>
      </c>
      <c r="N2094" s="490">
        <v>6</v>
      </c>
    </row>
    <row r="2095" spans="1:14" ht="60.75" hidden="1" outlineLevel="2">
      <c r="A2095" s="527"/>
      <c r="B2095" s="385" t="s">
        <v>237</v>
      </c>
      <c r="C2095" s="399" t="s">
        <v>2126</v>
      </c>
      <c r="D2095" s="399" t="s">
        <v>1830</v>
      </c>
      <c r="E2095" s="385" t="s">
        <v>2589</v>
      </c>
      <c r="F2095" s="385" t="s">
        <v>1211</v>
      </c>
      <c r="G2095" s="459" t="s">
        <v>2496</v>
      </c>
      <c r="H2095" s="385" t="s">
        <v>2590</v>
      </c>
      <c r="I2095" s="385" t="s">
        <v>119</v>
      </c>
      <c r="J2095" s="529" t="s">
        <v>365</v>
      </c>
      <c r="K2095" s="450"/>
      <c r="L2095" s="450"/>
      <c r="M2095" s="490" t="s">
        <v>37</v>
      </c>
      <c r="N2095" s="490">
        <v>18</v>
      </c>
    </row>
    <row r="2096" spans="1:14" ht="40.5" hidden="1" outlineLevel="2">
      <c r="A2096" s="527"/>
      <c r="B2096" s="385" t="s">
        <v>237</v>
      </c>
      <c r="C2096" s="399" t="s">
        <v>2126</v>
      </c>
      <c r="D2096" s="399" t="s">
        <v>1830</v>
      </c>
      <c r="E2096" s="385" t="s">
        <v>2591</v>
      </c>
      <c r="F2096" s="385" t="s">
        <v>2169</v>
      </c>
      <c r="G2096" s="385"/>
      <c r="H2096" s="385" t="s">
        <v>2592</v>
      </c>
      <c r="I2096" s="385" t="s">
        <v>156</v>
      </c>
      <c r="J2096" s="529" t="s">
        <v>366</v>
      </c>
      <c r="K2096" s="450"/>
      <c r="L2096" s="450"/>
      <c r="M2096" s="490" t="s">
        <v>37</v>
      </c>
      <c r="N2096" s="490">
        <v>2</v>
      </c>
    </row>
    <row r="2097" spans="1:14" s="394" customFormat="1" ht="141.75" outlineLevel="1" collapsed="1">
      <c r="A2097" s="554" t="s">
        <v>1334</v>
      </c>
      <c r="B2097" s="385" t="s">
        <v>237</v>
      </c>
      <c r="C2097" s="399" t="s">
        <v>2126</v>
      </c>
      <c r="D2097" s="399" t="s">
        <v>1830</v>
      </c>
      <c r="E2097" s="385"/>
      <c r="F2097" s="385" t="s">
        <v>2538</v>
      </c>
      <c r="G2097" s="385"/>
      <c r="H2097" s="401" t="s">
        <v>2593</v>
      </c>
      <c r="I2097" s="385" t="str">
        <f>CONCATENATE(I2099," ","(",H2099,")","-",N2099," ",M2099," ",I2100,"  ","(",H2100,")","-",N2100," ",M2100," ","(",H2101,")","-",N2101," ",M2101," ",)</f>
        <v xml:space="preserve">Ремонт трансформаторов 110 кВ (ТДТН-10000/110 2Т )-1 шт. Ремонт трансформаторов СН  (ТМ-200/6, ТМ-160/6 1ТСН 6, 2ТСН 6)-2 шт. (РЛНД-110, РНДЗ-110 ЛР 110 С-80, ЛР 110 С-109, ШР 110 С-80, ШР 110 С-109, ШР 110 1Т, ШР 110 ОПН 1с, СР 110 1с,  СР 110 2с, ШР 110 2Т, ШР 110 ТН 2с, ШР 110 ОПН 2с, ТР 110 1Т, ТР 110 2Т)-13 шт. </v>
      </c>
      <c r="J2097" s="489"/>
      <c r="K2097" s="450">
        <v>44378</v>
      </c>
      <c r="L2097" s="450">
        <v>44469</v>
      </c>
      <c r="M2097" s="490"/>
      <c r="N2097" s="490"/>
    </row>
    <row r="2098" spans="1:14" ht="60.75" hidden="1" outlineLevel="2">
      <c r="A2098" s="527"/>
      <c r="B2098" s="385" t="s">
        <v>298</v>
      </c>
      <c r="C2098" s="399" t="s">
        <v>2126</v>
      </c>
      <c r="D2098" s="399" t="s">
        <v>1830</v>
      </c>
      <c r="E2098" s="385" t="s">
        <v>2594</v>
      </c>
      <c r="F2098" s="385" t="s">
        <v>2161</v>
      </c>
      <c r="G2098" s="385" t="s">
        <v>2499</v>
      </c>
      <c r="H2098" s="385" t="s">
        <v>2595</v>
      </c>
      <c r="I2098" s="385" t="s">
        <v>967</v>
      </c>
      <c r="J2098" s="489" t="s">
        <v>365</v>
      </c>
      <c r="K2098" s="450"/>
      <c r="L2098" s="450"/>
      <c r="M2098" s="490" t="s">
        <v>37</v>
      </c>
      <c r="N2098" s="490">
        <v>6</v>
      </c>
    </row>
    <row r="2099" spans="1:14" ht="20.25" hidden="1" customHeight="1" outlineLevel="2">
      <c r="A2099" s="527"/>
      <c r="B2099" s="385" t="s">
        <v>237</v>
      </c>
      <c r="C2099" s="399" t="s">
        <v>2126</v>
      </c>
      <c r="D2099" s="399" t="s">
        <v>1830</v>
      </c>
      <c r="E2099" s="570" t="s">
        <v>2596</v>
      </c>
      <c r="F2099" s="385" t="s">
        <v>2169</v>
      </c>
      <c r="G2099" s="385"/>
      <c r="H2099" s="385" t="s">
        <v>2597</v>
      </c>
      <c r="I2099" s="385" t="s">
        <v>156</v>
      </c>
      <c r="J2099" s="489" t="s">
        <v>366</v>
      </c>
      <c r="K2099" s="450"/>
      <c r="L2099" s="450"/>
      <c r="M2099" s="490" t="s">
        <v>37</v>
      </c>
      <c r="N2099" s="490">
        <v>1</v>
      </c>
    </row>
    <row r="2100" spans="1:14" ht="20.25" hidden="1" customHeight="1" outlineLevel="2">
      <c r="A2100" s="527"/>
      <c r="B2100" s="385" t="s">
        <v>298</v>
      </c>
      <c r="C2100" s="399" t="s">
        <v>2126</v>
      </c>
      <c r="D2100" s="399" t="s">
        <v>1830</v>
      </c>
      <c r="E2100" s="571"/>
      <c r="F2100" s="385" t="s">
        <v>2169</v>
      </c>
      <c r="G2100" s="385"/>
      <c r="H2100" s="385" t="s">
        <v>2598</v>
      </c>
      <c r="I2100" s="385" t="s">
        <v>163</v>
      </c>
      <c r="J2100" s="489" t="s">
        <v>366</v>
      </c>
      <c r="K2100" s="450"/>
      <c r="L2100" s="450"/>
      <c r="M2100" s="490" t="s">
        <v>37</v>
      </c>
      <c r="N2100" s="490">
        <v>2</v>
      </c>
    </row>
    <row r="2101" spans="1:14" ht="81" hidden="1" customHeight="1" outlineLevel="2">
      <c r="A2101" s="527"/>
      <c r="B2101" s="385" t="s">
        <v>237</v>
      </c>
      <c r="C2101" s="399" t="s">
        <v>2126</v>
      </c>
      <c r="D2101" s="399" t="s">
        <v>1830</v>
      </c>
      <c r="E2101" s="572"/>
      <c r="F2101" s="385" t="s">
        <v>2169</v>
      </c>
      <c r="G2101" s="385"/>
      <c r="H2101" s="385" t="s">
        <v>2599</v>
      </c>
      <c r="I2101" s="385" t="s">
        <v>199</v>
      </c>
      <c r="J2101" s="489" t="s">
        <v>366</v>
      </c>
      <c r="K2101" s="450"/>
      <c r="L2101" s="450"/>
      <c r="M2101" s="490" t="s">
        <v>37</v>
      </c>
      <c r="N2101" s="490">
        <v>13</v>
      </c>
    </row>
    <row r="2102" spans="1:14" s="394" customFormat="1" ht="141.75" outlineLevel="1" collapsed="1">
      <c r="A2102" s="554" t="s">
        <v>1335</v>
      </c>
      <c r="B2102" s="385" t="s">
        <v>237</v>
      </c>
      <c r="C2102" s="399" t="s">
        <v>2126</v>
      </c>
      <c r="D2102" s="399" t="s">
        <v>1830</v>
      </c>
      <c r="E2102" s="385"/>
      <c r="F2102" s="385" t="s">
        <v>2169</v>
      </c>
      <c r="G2102" s="385"/>
      <c r="H2102" s="401" t="s">
        <v>2600</v>
      </c>
      <c r="I2102" s="385" t="str">
        <f>CONCATENATE(I2103," ","(",H2103,")","-",N2103," ",M2103," ",I2104,"  ","(",H2104,")","-",N2104," ",M2104," ",I2105," ","(",H2105,")","-",N2105," ",M2105," ",I2106," ","(",H2106,")","-",N2106," ",M2106," ")</f>
        <v xml:space="preserve">Ремонт выключателей 35 кВ (ВМ-35, ВТ-35, С-35М, ВБ-35 В 35 1Т, СВ 35, В 35 Т-183, В 35 Т-181, В 35 2Т, В 35 Т-180)-6 шт. Ремонт трансформаторов СН  (ТМ-100/10, ТOEZ-250/10 1ТСН 10, 2ТСН 10)-2 шт. Ремонт трансформаторов тока 35 кВ (ТФЗМ-35 ТТ 35 Т-180)-2 шт. Ремонт трансформаторов напряжения 35 кВ (ЗНОМ-35 ТН 35 1с, ТН 35 2с)-6 шт. </v>
      </c>
      <c r="J2102" s="489"/>
      <c r="K2102" s="450">
        <v>44287</v>
      </c>
      <c r="L2102" s="450">
        <v>44439</v>
      </c>
      <c r="M2102" s="490"/>
      <c r="N2102" s="490"/>
    </row>
    <row r="2103" spans="1:14" ht="121.5" hidden="1" outlineLevel="2">
      <c r="A2103" s="527"/>
      <c r="B2103" s="385" t="s">
        <v>300</v>
      </c>
      <c r="C2103" s="399" t="s">
        <v>2126</v>
      </c>
      <c r="D2103" s="399" t="s">
        <v>1830</v>
      </c>
      <c r="E2103" s="385" t="s">
        <v>2601</v>
      </c>
      <c r="F2103" s="385" t="s">
        <v>2169</v>
      </c>
      <c r="G2103" s="385"/>
      <c r="H2103" s="385" t="s">
        <v>2602</v>
      </c>
      <c r="I2103" s="385" t="s">
        <v>189</v>
      </c>
      <c r="J2103" s="489" t="s">
        <v>365</v>
      </c>
      <c r="K2103" s="450"/>
      <c r="L2103" s="450"/>
      <c r="M2103" s="490" t="s">
        <v>37</v>
      </c>
      <c r="N2103" s="490">
        <v>6</v>
      </c>
    </row>
    <row r="2104" spans="1:14" ht="20.25" hidden="1" customHeight="1" outlineLevel="2">
      <c r="A2104" s="527"/>
      <c r="B2104" s="385" t="s">
        <v>298</v>
      </c>
      <c r="C2104" s="399" t="s">
        <v>2126</v>
      </c>
      <c r="D2104" s="399" t="s">
        <v>1830</v>
      </c>
      <c r="E2104" s="570" t="s">
        <v>2603</v>
      </c>
      <c r="F2104" s="385" t="s">
        <v>2169</v>
      </c>
      <c r="G2104" s="385"/>
      <c r="H2104" s="385" t="s">
        <v>2604</v>
      </c>
      <c r="I2104" s="385" t="s">
        <v>163</v>
      </c>
      <c r="J2104" s="489" t="s">
        <v>366</v>
      </c>
      <c r="K2104" s="450"/>
      <c r="L2104" s="450"/>
      <c r="M2104" s="490" t="s">
        <v>37</v>
      </c>
      <c r="N2104" s="490">
        <v>2</v>
      </c>
    </row>
    <row r="2105" spans="1:14" ht="20.25" hidden="1" customHeight="1" outlineLevel="2">
      <c r="A2105" s="527"/>
      <c r="B2105" s="385" t="s">
        <v>300</v>
      </c>
      <c r="C2105" s="399" t="s">
        <v>2126</v>
      </c>
      <c r="D2105" s="399" t="s">
        <v>1830</v>
      </c>
      <c r="E2105" s="571"/>
      <c r="F2105" s="385" t="s">
        <v>2169</v>
      </c>
      <c r="G2105" s="385"/>
      <c r="H2105" s="385" t="s">
        <v>2605</v>
      </c>
      <c r="I2105" s="385" t="s">
        <v>210</v>
      </c>
      <c r="J2105" s="489" t="s">
        <v>366</v>
      </c>
      <c r="K2105" s="450"/>
      <c r="L2105" s="450"/>
      <c r="M2105" s="490" t="s">
        <v>37</v>
      </c>
      <c r="N2105" s="490">
        <v>2</v>
      </c>
    </row>
    <row r="2106" spans="1:14" ht="20.25" hidden="1" customHeight="1" outlineLevel="2">
      <c r="A2106" s="527"/>
      <c r="B2106" s="385" t="s">
        <v>300</v>
      </c>
      <c r="C2106" s="399" t="s">
        <v>2126</v>
      </c>
      <c r="D2106" s="399" t="s">
        <v>1830</v>
      </c>
      <c r="E2106" s="572"/>
      <c r="F2106" s="385" t="s">
        <v>2169</v>
      </c>
      <c r="G2106" s="385"/>
      <c r="H2106" s="385" t="s">
        <v>2606</v>
      </c>
      <c r="I2106" s="385" t="s">
        <v>220</v>
      </c>
      <c r="J2106" s="489" t="s">
        <v>366</v>
      </c>
      <c r="K2106" s="450"/>
      <c r="L2106" s="450"/>
      <c r="M2106" s="490" t="s">
        <v>37</v>
      </c>
      <c r="N2106" s="490">
        <v>6</v>
      </c>
    </row>
    <row r="2107" spans="1:14" s="394" customFormat="1" ht="162" outlineLevel="1" collapsed="1">
      <c r="A2107" s="554" t="s">
        <v>1336</v>
      </c>
      <c r="B2107" s="385" t="s">
        <v>237</v>
      </c>
      <c r="C2107" s="399" t="s">
        <v>2607</v>
      </c>
      <c r="D2107" s="399" t="s">
        <v>1830</v>
      </c>
      <c r="E2107" s="385"/>
      <c r="F2107" s="385" t="s">
        <v>2169</v>
      </c>
      <c r="G2107" s="385"/>
      <c r="H2107" s="401" t="s">
        <v>2608</v>
      </c>
      <c r="I2107" s="385" t="str">
        <f>CONCATENATE(I2108," ","(",H2108,")","-",N2108," ",M2108," ",I2110,"  ","(",H2110,")","-",N2110," ",M2110," ",I2111," ","(",H2111,")","-",N2111," ",M2111," ",I2112," ","(",H2112,")","-",N2112," ",M2112,I2113," ","(",H2113,")","-",N2113," ",M2113,I2114," ","(",H2114,")","-",N2114," ",M2114,)</f>
        <v>Ремонт выключателей 110 кВ (ВМТ-110 В 110 1Т)-1 шт. Ремонт выключателей 35 кВ  (С-35 В 35 Т-195, В 35 Т-222, В 35 1Т)-3 шт. Ремонт трансформаторов тока 35 кВ (ТФЗМ-35 ТТ 35 Т-222, ТТ 35 1Т)-5 шт. Ремонт трансформаторов напряжения 110 кВ (НКФ-110 ТН 110 1с, ТН 110 2с)-6 шт.Ремонт трансформаторов напряжения 35 кВ (ЗНОМ-35 ТН 35 1с)-3 шт.Ремонт разъединителей 110 кВ  (ЗОН-110М ЗОН 110 1Т)-1 шт.</v>
      </c>
      <c r="J2107" s="489"/>
      <c r="K2107" s="450">
        <v>44440</v>
      </c>
      <c r="L2107" s="450">
        <v>44469</v>
      </c>
      <c r="M2107" s="490"/>
      <c r="N2107" s="490"/>
    </row>
    <row r="2108" spans="1:14" ht="20.25" hidden="1" customHeight="1" outlineLevel="2">
      <c r="A2108" s="527"/>
      <c r="B2108" s="385" t="s">
        <v>237</v>
      </c>
      <c r="C2108" s="399" t="s">
        <v>2607</v>
      </c>
      <c r="D2108" s="399" t="s">
        <v>1830</v>
      </c>
      <c r="E2108" s="570" t="s">
        <v>2609</v>
      </c>
      <c r="F2108" s="385" t="s">
        <v>2169</v>
      </c>
      <c r="G2108" s="385"/>
      <c r="H2108" s="385" t="s">
        <v>2610</v>
      </c>
      <c r="I2108" s="385" t="s">
        <v>186</v>
      </c>
      <c r="J2108" s="489" t="s">
        <v>366</v>
      </c>
      <c r="K2108" s="450"/>
      <c r="L2108" s="450"/>
      <c r="M2108" s="490" t="s">
        <v>37</v>
      </c>
      <c r="N2108" s="490">
        <v>1</v>
      </c>
    </row>
    <row r="2109" spans="1:14" ht="20.25" hidden="1" customHeight="1" outlineLevel="2">
      <c r="A2109" s="527"/>
      <c r="B2109" s="385" t="s">
        <v>237</v>
      </c>
      <c r="C2109" s="399" t="s">
        <v>2607</v>
      </c>
      <c r="D2109" s="399" t="s">
        <v>1830</v>
      </c>
      <c r="E2109" s="571"/>
      <c r="F2109" s="385" t="s">
        <v>2169</v>
      </c>
      <c r="G2109" s="385"/>
      <c r="H2109" s="385" t="s">
        <v>2576</v>
      </c>
      <c r="I2109" s="385" t="s">
        <v>208</v>
      </c>
      <c r="J2109" s="489" t="s">
        <v>366</v>
      </c>
      <c r="K2109" s="450"/>
      <c r="L2109" s="450"/>
      <c r="M2109" s="490" t="s">
        <v>37</v>
      </c>
      <c r="N2109" s="490">
        <v>3</v>
      </c>
    </row>
    <row r="2110" spans="1:14" ht="20.25" hidden="1" customHeight="1" outlineLevel="2">
      <c r="A2110" s="527"/>
      <c r="B2110" s="385" t="s">
        <v>300</v>
      </c>
      <c r="C2110" s="399" t="s">
        <v>2607</v>
      </c>
      <c r="D2110" s="399" t="s">
        <v>1830</v>
      </c>
      <c r="E2110" s="571"/>
      <c r="F2110" s="385" t="s">
        <v>2169</v>
      </c>
      <c r="G2110" s="385"/>
      <c r="H2110" s="385" t="s">
        <v>2611</v>
      </c>
      <c r="I2110" s="385" t="s">
        <v>189</v>
      </c>
      <c r="J2110" s="489" t="s">
        <v>366</v>
      </c>
      <c r="K2110" s="450"/>
      <c r="L2110" s="450"/>
      <c r="M2110" s="490" t="s">
        <v>37</v>
      </c>
      <c r="N2110" s="490">
        <v>3</v>
      </c>
    </row>
    <row r="2111" spans="1:14" ht="20.25" hidden="1" customHeight="1" outlineLevel="2">
      <c r="A2111" s="527"/>
      <c r="B2111" s="385" t="s">
        <v>300</v>
      </c>
      <c r="C2111" s="399" t="s">
        <v>2607</v>
      </c>
      <c r="D2111" s="399" t="s">
        <v>1830</v>
      </c>
      <c r="E2111" s="571"/>
      <c r="F2111" s="385" t="s">
        <v>2169</v>
      </c>
      <c r="G2111" s="385"/>
      <c r="H2111" s="385" t="s">
        <v>2612</v>
      </c>
      <c r="I2111" s="385" t="s">
        <v>210</v>
      </c>
      <c r="J2111" s="489" t="s">
        <v>366</v>
      </c>
      <c r="K2111" s="450"/>
      <c r="L2111" s="450"/>
      <c r="M2111" s="490" t="s">
        <v>37</v>
      </c>
      <c r="N2111" s="490">
        <v>5</v>
      </c>
    </row>
    <row r="2112" spans="1:14" ht="20.25" hidden="1" customHeight="1" outlineLevel="2">
      <c r="A2112" s="527"/>
      <c r="B2112" s="385" t="s">
        <v>237</v>
      </c>
      <c r="C2112" s="399" t="s">
        <v>2607</v>
      </c>
      <c r="D2112" s="399" t="s">
        <v>1830</v>
      </c>
      <c r="E2112" s="571"/>
      <c r="F2112" s="385" t="s">
        <v>2169</v>
      </c>
      <c r="G2112" s="385"/>
      <c r="H2112" s="385" t="s">
        <v>2475</v>
      </c>
      <c r="I2112" s="385" t="s">
        <v>217</v>
      </c>
      <c r="J2112" s="489" t="s">
        <v>366</v>
      </c>
      <c r="K2112" s="450"/>
      <c r="L2112" s="450"/>
      <c r="M2112" s="490" t="s">
        <v>37</v>
      </c>
      <c r="N2112" s="490">
        <v>6</v>
      </c>
    </row>
    <row r="2113" spans="1:14" ht="20.25" hidden="1" customHeight="1" outlineLevel="2">
      <c r="A2113" s="527"/>
      <c r="B2113" s="385" t="s">
        <v>300</v>
      </c>
      <c r="C2113" s="399" t="s">
        <v>2607</v>
      </c>
      <c r="D2113" s="399" t="s">
        <v>1830</v>
      </c>
      <c r="E2113" s="571"/>
      <c r="F2113" s="385" t="s">
        <v>2169</v>
      </c>
      <c r="G2113" s="385"/>
      <c r="H2113" s="385" t="s">
        <v>2613</v>
      </c>
      <c r="I2113" s="385" t="s">
        <v>220</v>
      </c>
      <c r="J2113" s="489" t="s">
        <v>366</v>
      </c>
      <c r="K2113" s="450"/>
      <c r="L2113" s="450"/>
      <c r="M2113" s="490" t="s">
        <v>37</v>
      </c>
      <c r="N2113" s="490">
        <v>3</v>
      </c>
    </row>
    <row r="2114" spans="1:14" ht="20.25" hidden="1" customHeight="1" outlineLevel="2">
      <c r="A2114" s="527"/>
      <c r="B2114" s="385" t="s">
        <v>237</v>
      </c>
      <c r="C2114" s="399" t="s">
        <v>2607</v>
      </c>
      <c r="D2114" s="399" t="s">
        <v>1830</v>
      </c>
      <c r="E2114" s="572"/>
      <c r="F2114" s="385" t="s">
        <v>2169</v>
      </c>
      <c r="G2114" s="385"/>
      <c r="H2114" s="385" t="s">
        <v>2614</v>
      </c>
      <c r="I2114" s="385" t="s">
        <v>199</v>
      </c>
      <c r="J2114" s="489" t="s">
        <v>366</v>
      </c>
      <c r="K2114" s="450"/>
      <c r="L2114" s="450"/>
      <c r="M2114" s="490" t="s">
        <v>37</v>
      </c>
      <c r="N2114" s="490">
        <v>1</v>
      </c>
    </row>
    <row r="2115" spans="1:14" s="394" customFormat="1" ht="283.5" outlineLevel="1" collapsed="1">
      <c r="A2115" s="554" t="s">
        <v>1337</v>
      </c>
      <c r="B2115" s="385" t="s">
        <v>237</v>
      </c>
      <c r="C2115" s="399" t="s">
        <v>2607</v>
      </c>
      <c r="D2115" s="399" t="s">
        <v>1830</v>
      </c>
      <c r="E2115" s="385"/>
      <c r="F2115" s="385" t="s">
        <v>2616</v>
      </c>
      <c r="G2115" s="385"/>
      <c r="H2115" s="401" t="s">
        <v>2617</v>
      </c>
      <c r="I2115" s="385" t="str">
        <f>CONCATENATE(I2116," ","(",H2116,")","-",N2116," ",M2116," ",I2117,"  ","(",H2117,")","-",N2117," ",M2117," ",I2118," ","(",H2118,")","-",N2118," ",M2118," ",I2119," ","(",H2119,")","-",N2119," ",M2119,)</f>
        <v>Ремонт разъединителей 110 кВ  (РНДЗ-110 ЛР 110 С-120, ЛР 110 С-119, ЛР 110 С-73, ЛР 110 С-118, ЛР 110 С-117, ЛР 110 С-81)-6 шт. Замена трансформаторов тока 6-10 кВ  (ТВЛМ-10 на ТЛК-10 ТТ 6 яч 12)-2 шт. Ремонт выключателей 110 кВ (МКП-110 В 110 С-119)-1 шт. Ремонт разъединителей 110 кВ  (РНДЗ-110, РНДЗ-110 ОШР 110 С-120, ОШР 110 С-119, ОШР 110 С-73, ОШР 110 С-118, ОШР 110 С-117, ОШР 110 С-81, ОШР 110 ОВ, 1ШР 110 С-120, 1ШР 110 С-119, 1ШР 110 С-73, 1ШР 110 С-118 , 1ШР 110 С-117, 1ШР 110 С-81, 1ШР 110 ШСВ, 1ШР 110 ОВ, 2ШР 110 С-120, 2ШР 110 С-119, 2ШР 110 С-73, 2ШР 110 С-118, 2ШР 110 С-117, 2ШР 110 С-81, 2ШР 110 ШСВ, 2ШР 110 ОВ)-23 шт.</v>
      </c>
      <c r="J2115" s="489"/>
      <c r="K2115" s="450">
        <v>44409</v>
      </c>
      <c r="L2115" s="450">
        <v>44500</v>
      </c>
      <c r="M2115" s="490"/>
      <c r="N2115" s="490"/>
    </row>
    <row r="2116" spans="1:14" ht="121.5" hidden="1" outlineLevel="2">
      <c r="A2116" s="527"/>
      <c r="B2116" s="385" t="s">
        <v>237</v>
      </c>
      <c r="C2116" s="399" t="s">
        <v>2607</v>
      </c>
      <c r="D2116" s="399" t="s">
        <v>1830</v>
      </c>
      <c r="E2116" s="385" t="s">
        <v>2618</v>
      </c>
      <c r="F2116" s="385" t="s">
        <v>2169</v>
      </c>
      <c r="G2116" s="385"/>
      <c r="H2116" s="385" t="s">
        <v>2619</v>
      </c>
      <c r="I2116" s="385" t="s">
        <v>199</v>
      </c>
      <c r="J2116" s="489" t="s">
        <v>365</v>
      </c>
      <c r="K2116" s="450"/>
      <c r="L2116" s="450"/>
      <c r="M2116" s="490" t="s">
        <v>37</v>
      </c>
      <c r="N2116" s="490">
        <v>6</v>
      </c>
    </row>
    <row r="2117" spans="1:14" ht="60.75" hidden="1" outlineLevel="2">
      <c r="A2117" s="527"/>
      <c r="B2117" s="385" t="s">
        <v>298</v>
      </c>
      <c r="C2117" s="399" t="s">
        <v>2607</v>
      </c>
      <c r="D2117" s="399" t="s">
        <v>1830</v>
      </c>
      <c r="E2117" s="385" t="s">
        <v>2620</v>
      </c>
      <c r="F2117" s="385" t="s">
        <v>2161</v>
      </c>
      <c r="G2117" s="385" t="s">
        <v>2499</v>
      </c>
      <c r="H2117" s="385" t="s">
        <v>2621</v>
      </c>
      <c r="I2117" s="385" t="s">
        <v>967</v>
      </c>
      <c r="J2117" s="489" t="s">
        <v>365</v>
      </c>
      <c r="K2117" s="450"/>
      <c r="L2117" s="450"/>
      <c r="M2117" s="490" t="s">
        <v>37</v>
      </c>
      <c r="N2117" s="490">
        <v>2</v>
      </c>
    </row>
    <row r="2118" spans="1:14" ht="40.5" hidden="1" outlineLevel="2">
      <c r="A2118" s="527"/>
      <c r="B2118" s="385" t="s">
        <v>237</v>
      </c>
      <c r="C2118" s="399" t="s">
        <v>2607</v>
      </c>
      <c r="D2118" s="399" t="s">
        <v>1830</v>
      </c>
      <c r="E2118" s="385" t="s">
        <v>3324</v>
      </c>
      <c r="F2118" s="385" t="s">
        <v>303</v>
      </c>
      <c r="G2118" s="385"/>
      <c r="H2118" s="385" t="s">
        <v>3325</v>
      </c>
      <c r="I2118" s="385" t="s">
        <v>186</v>
      </c>
      <c r="J2118" s="489" t="s">
        <v>366</v>
      </c>
      <c r="K2118" s="450"/>
      <c r="L2118" s="450"/>
      <c r="M2118" s="490" t="s">
        <v>37</v>
      </c>
      <c r="N2118" s="490">
        <v>1</v>
      </c>
    </row>
    <row r="2119" spans="1:14" ht="409.5" hidden="1" outlineLevel="2">
      <c r="A2119" s="527"/>
      <c r="B2119" s="385" t="s">
        <v>237</v>
      </c>
      <c r="C2119" s="399" t="s">
        <v>2607</v>
      </c>
      <c r="D2119" s="399" t="s">
        <v>1830</v>
      </c>
      <c r="E2119" s="385" t="s">
        <v>2622</v>
      </c>
      <c r="F2119" s="385" t="s">
        <v>2169</v>
      </c>
      <c r="G2119" s="385"/>
      <c r="H2119" s="385" t="s">
        <v>2623</v>
      </c>
      <c r="I2119" s="385" t="s">
        <v>199</v>
      </c>
      <c r="J2119" s="489" t="s">
        <v>366</v>
      </c>
      <c r="K2119" s="450"/>
      <c r="L2119" s="450"/>
      <c r="M2119" s="490" t="s">
        <v>37</v>
      </c>
      <c r="N2119" s="490">
        <v>23</v>
      </c>
    </row>
    <row r="2120" spans="1:14" s="394" customFormat="1" ht="60.75" outlineLevel="1" collapsed="1">
      <c r="A2120" s="554" t="s">
        <v>2615</v>
      </c>
      <c r="B2120" s="385" t="s">
        <v>237</v>
      </c>
      <c r="C2120" s="399" t="s">
        <v>2607</v>
      </c>
      <c r="D2120" s="399" t="s">
        <v>1830</v>
      </c>
      <c r="E2120" s="385"/>
      <c r="F2120" s="385" t="s">
        <v>2169</v>
      </c>
      <c r="G2120" s="385"/>
      <c r="H2120" s="401" t="s">
        <v>2624</v>
      </c>
      <c r="I2120" s="385" t="str">
        <f>CONCATENATE(I2121," ","(",H2121,")","-",N2121," ",M2121," ",I2122," ","(",H2122,")","-",N2122," ",M2122," ")</f>
        <v xml:space="preserve">Ремонт трансформаторов СН (ТМ-40/10 1ТСН 10 )-1 шт. Ремонт разъединителей 110 кВ  (РНДЗ-110 ЛР 110 С-102, ЛР 110 С-97, СР 110 1с , СР 110 2с )-4 шт. </v>
      </c>
      <c r="J2120" s="489"/>
      <c r="K2120" s="450">
        <v>44470</v>
      </c>
      <c r="L2120" s="450">
        <v>44500</v>
      </c>
      <c r="M2120" s="490"/>
      <c r="N2120" s="490"/>
    </row>
    <row r="2121" spans="1:14" ht="20.25" hidden="1" customHeight="1" outlineLevel="2">
      <c r="A2121" s="527"/>
      <c r="B2121" s="385" t="s">
        <v>298</v>
      </c>
      <c r="C2121" s="399" t="s">
        <v>2607</v>
      </c>
      <c r="D2121" s="399" t="s">
        <v>1830</v>
      </c>
      <c r="E2121" s="570" t="s">
        <v>2625</v>
      </c>
      <c r="F2121" s="385" t="s">
        <v>2169</v>
      </c>
      <c r="G2121" s="385"/>
      <c r="H2121" s="385" t="s">
        <v>2626</v>
      </c>
      <c r="I2121" s="385" t="s">
        <v>163</v>
      </c>
      <c r="J2121" s="489" t="s">
        <v>366</v>
      </c>
      <c r="K2121" s="450"/>
      <c r="L2121" s="450"/>
      <c r="M2121" s="490" t="s">
        <v>37</v>
      </c>
      <c r="N2121" s="490">
        <v>1</v>
      </c>
    </row>
    <row r="2122" spans="1:14" ht="20.25" hidden="1" customHeight="1" outlineLevel="2">
      <c r="A2122" s="527"/>
      <c r="B2122" s="385" t="s">
        <v>237</v>
      </c>
      <c r="C2122" s="399" t="s">
        <v>2607</v>
      </c>
      <c r="D2122" s="399" t="s">
        <v>1830</v>
      </c>
      <c r="E2122" s="572"/>
      <c r="F2122" s="385" t="s">
        <v>2169</v>
      </c>
      <c r="G2122" s="385"/>
      <c r="H2122" s="385" t="s">
        <v>2627</v>
      </c>
      <c r="I2122" s="385" t="s">
        <v>199</v>
      </c>
      <c r="J2122" s="489" t="s">
        <v>366</v>
      </c>
      <c r="K2122" s="450"/>
      <c r="L2122" s="450"/>
      <c r="M2122" s="490" t="s">
        <v>37</v>
      </c>
      <c r="N2122" s="490">
        <v>4</v>
      </c>
    </row>
    <row r="2123" spans="1:14" s="394" customFormat="1" ht="81" outlineLevel="1" collapsed="1">
      <c r="A2123" s="554" t="s">
        <v>1338</v>
      </c>
      <c r="B2123" s="385" t="s">
        <v>237</v>
      </c>
      <c r="C2123" s="399" t="s">
        <v>2607</v>
      </c>
      <c r="D2123" s="399" t="s">
        <v>1830</v>
      </c>
      <c r="E2123" s="385"/>
      <c r="F2123" s="385" t="s">
        <v>2169</v>
      </c>
      <c r="G2123" s="385"/>
      <c r="H2123" s="401" t="s">
        <v>2628</v>
      </c>
      <c r="I2123" s="385" t="str">
        <f>CONCATENATE(I2124," ","(",H2124,")","-",N2124," ",M2124," ",I2125,"  ","(",H2125,")","-",N2125," ",M2125," ",)</f>
        <v xml:space="preserve">Ремонт трансформаторов 110 кВ (ТДН-16000/110 1Т)-1 шт. Ремонт разъединителей 110 кВ   (РНДЗ-110 ЛР 110 С-93, ЛР 110 С-75, ШР 110 1Т,  ШР 110 2Т, СР 110 1с, СР 110 2с, ШР 110 ТН 1с, ШР 110 ОПН 2с)-8 шт. </v>
      </c>
      <c r="J2123" s="489"/>
      <c r="K2123" s="450">
        <v>44287</v>
      </c>
      <c r="L2123" s="450">
        <v>44316</v>
      </c>
      <c r="M2123" s="490"/>
      <c r="N2123" s="490"/>
    </row>
    <row r="2124" spans="1:14" hidden="1" outlineLevel="2">
      <c r="A2124" s="527"/>
      <c r="B2124" s="385" t="s">
        <v>237</v>
      </c>
      <c r="C2124" s="399" t="s">
        <v>2607</v>
      </c>
      <c r="D2124" s="399" t="s">
        <v>1830</v>
      </c>
      <c r="E2124" s="385" t="s">
        <v>2629</v>
      </c>
      <c r="F2124" s="385" t="s">
        <v>2169</v>
      </c>
      <c r="G2124" s="385"/>
      <c r="H2124" s="385" t="s">
        <v>2630</v>
      </c>
      <c r="I2124" s="385" t="s">
        <v>156</v>
      </c>
      <c r="J2124" s="489" t="s">
        <v>366</v>
      </c>
      <c r="K2124" s="450"/>
      <c r="L2124" s="450"/>
      <c r="M2124" s="490" t="s">
        <v>37</v>
      </c>
      <c r="N2124" s="490">
        <v>1</v>
      </c>
    </row>
    <row r="2125" spans="1:14" ht="101.25" hidden="1" outlineLevel="2">
      <c r="A2125" s="527"/>
      <c r="B2125" s="385" t="s">
        <v>237</v>
      </c>
      <c r="C2125" s="399" t="s">
        <v>2607</v>
      </c>
      <c r="D2125" s="399" t="s">
        <v>1830</v>
      </c>
      <c r="E2125" s="385" t="s">
        <v>2631</v>
      </c>
      <c r="F2125" s="385" t="s">
        <v>2169</v>
      </c>
      <c r="G2125" s="385"/>
      <c r="H2125" s="385" t="s">
        <v>2632</v>
      </c>
      <c r="I2125" s="385" t="s">
        <v>199</v>
      </c>
      <c r="J2125" s="489" t="s">
        <v>366</v>
      </c>
      <c r="K2125" s="450"/>
      <c r="L2125" s="450"/>
      <c r="M2125" s="490" t="s">
        <v>37</v>
      </c>
      <c r="N2125" s="490">
        <v>8</v>
      </c>
    </row>
    <row r="2126" spans="1:14" s="394" customFormat="1" ht="40.5" outlineLevel="1" collapsed="1">
      <c r="A2126" s="554" t="s">
        <v>1339</v>
      </c>
      <c r="B2126" s="385" t="s">
        <v>237</v>
      </c>
      <c r="C2126" s="399" t="s">
        <v>2315</v>
      </c>
      <c r="D2126" s="399" t="s">
        <v>1830</v>
      </c>
      <c r="E2126" s="385"/>
      <c r="F2126" s="385" t="s">
        <v>2169</v>
      </c>
      <c r="G2126" s="385"/>
      <c r="H2126" s="401" t="s">
        <v>2633</v>
      </c>
      <c r="I2126" s="385" t="str">
        <f>CONCATENATE(I2127," ","(",H2127,")","-",N2127," ",M2127," ",)</f>
        <v xml:space="preserve">Ремонт трансформаторов 110 кВ (ТМН-2500/110/6 1Т)-1 шт. </v>
      </c>
      <c r="J2126" s="489"/>
      <c r="K2126" s="450">
        <v>44409</v>
      </c>
      <c r="L2126" s="450">
        <v>44439</v>
      </c>
      <c r="M2126" s="490"/>
      <c r="N2126" s="490"/>
    </row>
    <row r="2127" spans="1:14" hidden="1" outlineLevel="2">
      <c r="A2127" s="527"/>
      <c r="B2127" s="385" t="s">
        <v>237</v>
      </c>
      <c r="C2127" s="490" t="s">
        <v>2315</v>
      </c>
      <c r="D2127" s="399" t="s">
        <v>1830</v>
      </c>
      <c r="E2127" s="385" t="s">
        <v>2634</v>
      </c>
      <c r="F2127" s="385" t="s">
        <v>2169</v>
      </c>
      <c r="G2127" s="385"/>
      <c r="H2127" s="385" t="s">
        <v>2635</v>
      </c>
      <c r="I2127" s="385" t="s">
        <v>156</v>
      </c>
      <c r="J2127" s="489" t="s">
        <v>366</v>
      </c>
      <c r="K2127" s="450"/>
      <c r="L2127" s="450"/>
      <c r="M2127" s="490" t="s">
        <v>37</v>
      </c>
      <c r="N2127" s="490">
        <v>1</v>
      </c>
    </row>
    <row r="2128" spans="1:14" s="394" customFormat="1" ht="202.5" outlineLevel="1" collapsed="1">
      <c r="A2128" s="554" t="s">
        <v>1340</v>
      </c>
      <c r="B2128" s="385" t="s">
        <v>237</v>
      </c>
      <c r="C2128" s="399" t="s">
        <v>2315</v>
      </c>
      <c r="D2128" s="399" t="s">
        <v>1830</v>
      </c>
      <c r="E2128" s="385"/>
      <c r="F2128" s="385" t="s">
        <v>2466</v>
      </c>
      <c r="G2128" s="385"/>
      <c r="H2128" s="401" t="s">
        <v>2636</v>
      </c>
      <c r="I2128" s="385" t="str">
        <f>CONCATENATE(I2129," ","(",H2129,")","-",N2129," ",M2129," ",I2130,"  ","(",H2130,")","-",N2130," ",M2130," ",I2131," ","(",H2131,")","-",N2131," ",M2131," ",I2132," ","(",H2132,")","-",N2132," ",M2132,I2133," ","(",H2133,")","-",N2133," ",M2133,I2134," ","(",H2134,")","-",N2134," ",M2134,)</f>
        <v>Замена опорно-стержневых изоляторов разъединителей 110 кВ (РЛНД-110 ШР 110 1Т, ШР 110 2Т, ШР 110 ТН1с, ШР 110 ТН2с)-24 шт. Ремонт трансформаторов 110 кВ  (ТДТН-160000/110 1Т)-1 шт. Ремонт выключателей 110 кВ (МКП-110 В 110 С-88)-1 шт. Ремонт трансформаторов напряжения 110 кВ (НКФ-110 ТН 110 1с, ТН 110 2с)-6 шт.Ремонт трансформаторов напряжения 35 кВ (ЗНОМ-35  ТН 35 1с, ТН 35 2с)-6 шт.Ремонт выключателей 6-10 кВ (ВМПЭ-10 В 6 яч.16, В 6 яч.24)-2 шт.</v>
      </c>
      <c r="J2128" s="489"/>
      <c r="K2128" s="450">
        <v>44317</v>
      </c>
      <c r="L2128" s="450">
        <v>44530</v>
      </c>
      <c r="M2128" s="490"/>
      <c r="N2128" s="490"/>
    </row>
    <row r="2129" spans="1:14" ht="40.5" hidden="1" outlineLevel="2">
      <c r="A2129" s="527"/>
      <c r="B2129" s="385" t="s">
        <v>237</v>
      </c>
      <c r="C2129" s="399" t="s">
        <v>2315</v>
      </c>
      <c r="D2129" s="399" t="s">
        <v>1830</v>
      </c>
      <c r="E2129" s="385" t="s">
        <v>2637</v>
      </c>
      <c r="F2129" s="385" t="s">
        <v>1211</v>
      </c>
      <c r="G2129" s="459" t="s">
        <v>2496</v>
      </c>
      <c r="H2129" s="385" t="s">
        <v>2638</v>
      </c>
      <c r="I2129" s="385" t="s">
        <v>119</v>
      </c>
      <c r="J2129" s="489" t="s">
        <v>365</v>
      </c>
      <c r="K2129" s="450"/>
      <c r="L2129" s="450"/>
      <c r="M2129" s="490" t="s">
        <v>37</v>
      </c>
      <c r="N2129" s="490">
        <v>24</v>
      </c>
    </row>
    <row r="2130" spans="1:14" hidden="1" outlineLevel="2">
      <c r="A2130" s="527"/>
      <c r="B2130" s="385" t="s">
        <v>237</v>
      </c>
      <c r="C2130" s="530" t="s">
        <v>2315</v>
      </c>
      <c r="D2130" s="399" t="s">
        <v>1830</v>
      </c>
      <c r="E2130" s="459" t="s">
        <v>2634</v>
      </c>
      <c r="F2130" s="385" t="s">
        <v>2169</v>
      </c>
      <c r="G2130" s="385"/>
      <c r="H2130" s="385" t="s">
        <v>2639</v>
      </c>
      <c r="I2130" s="385" t="s">
        <v>156</v>
      </c>
      <c r="J2130" s="489" t="s">
        <v>366</v>
      </c>
      <c r="K2130" s="450"/>
      <c r="L2130" s="450"/>
      <c r="M2130" s="490" t="s">
        <v>37</v>
      </c>
      <c r="N2130" s="490">
        <v>1</v>
      </c>
    </row>
    <row r="2131" spans="1:14" hidden="1" outlineLevel="2">
      <c r="A2131" s="527"/>
      <c r="B2131" s="385" t="s">
        <v>237</v>
      </c>
      <c r="C2131" s="531" t="s">
        <v>2315</v>
      </c>
      <c r="D2131" s="399" t="s">
        <v>1830</v>
      </c>
      <c r="E2131" s="528" t="s">
        <v>2640</v>
      </c>
      <c r="F2131" s="385" t="s">
        <v>2169</v>
      </c>
      <c r="G2131" s="385"/>
      <c r="H2131" s="385" t="s">
        <v>2641</v>
      </c>
      <c r="I2131" s="385" t="s">
        <v>186</v>
      </c>
      <c r="J2131" s="489" t="s">
        <v>366</v>
      </c>
      <c r="K2131" s="450"/>
      <c r="L2131" s="450"/>
      <c r="M2131" s="490" t="s">
        <v>37</v>
      </c>
      <c r="N2131" s="490">
        <v>1</v>
      </c>
    </row>
    <row r="2132" spans="1:14" ht="40.5" hidden="1" outlineLevel="2">
      <c r="A2132" s="527"/>
      <c r="B2132" s="385" t="s">
        <v>237</v>
      </c>
      <c r="C2132" s="531" t="s">
        <v>2315</v>
      </c>
      <c r="D2132" s="399" t="s">
        <v>1830</v>
      </c>
      <c r="E2132" s="528" t="s">
        <v>2642</v>
      </c>
      <c r="F2132" s="385" t="s">
        <v>2169</v>
      </c>
      <c r="G2132" s="385"/>
      <c r="H2132" s="385" t="s">
        <v>2475</v>
      </c>
      <c r="I2132" s="385" t="s">
        <v>217</v>
      </c>
      <c r="J2132" s="489" t="s">
        <v>366</v>
      </c>
      <c r="K2132" s="450"/>
      <c r="L2132" s="450"/>
      <c r="M2132" s="490" t="s">
        <v>37</v>
      </c>
      <c r="N2132" s="490">
        <v>6</v>
      </c>
    </row>
    <row r="2133" spans="1:14" ht="40.5" hidden="1" outlineLevel="2">
      <c r="A2133" s="527"/>
      <c r="B2133" s="385" t="s">
        <v>300</v>
      </c>
      <c r="C2133" s="531" t="s">
        <v>2315</v>
      </c>
      <c r="D2133" s="399" t="s">
        <v>1830</v>
      </c>
      <c r="E2133" s="528" t="s">
        <v>2643</v>
      </c>
      <c r="F2133" s="385" t="s">
        <v>2169</v>
      </c>
      <c r="G2133" s="385"/>
      <c r="H2133" s="385" t="s">
        <v>2644</v>
      </c>
      <c r="I2133" s="385" t="s">
        <v>220</v>
      </c>
      <c r="J2133" s="489" t="s">
        <v>366</v>
      </c>
      <c r="K2133" s="450"/>
      <c r="L2133" s="450"/>
      <c r="M2133" s="490" t="s">
        <v>37</v>
      </c>
      <c r="N2133" s="490">
        <v>6</v>
      </c>
    </row>
    <row r="2134" spans="1:14" ht="40.5" hidden="1" outlineLevel="2">
      <c r="A2134" s="527"/>
      <c r="B2134" s="385" t="s">
        <v>298</v>
      </c>
      <c r="C2134" s="531" t="s">
        <v>2315</v>
      </c>
      <c r="D2134" s="399" t="s">
        <v>1830</v>
      </c>
      <c r="E2134" s="528" t="s">
        <v>2645</v>
      </c>
      <c r="F2134" s="385" t="s">
        <v>2169</v>
      </c>
      <c r="G2134" s="385"/>
      <c r="H2134" s="385" t="s">
        <v>2646</v>
      </c>
      <c r="I2134" s="385" t="s">
        <v>191</v>
      </c>
      <c r="J2134" s="489" t="s">
        <v>366</v>
      </c>
      <c r="K2134" s="450"/>
      <c r="L2134" s="450"/>
      <c r="M2134" s="490" t="s">
        <v>37</v>
      </c>
      <c r="N2134" s="490">
        <v>2</v>
      </c>
    </row>
    <row r="2135" spans="1:14" s="394" customFormat="1" ht="141.75" outlineLevel="1" collapsed="1">
      <c r="A2135" s="554" t="s">
        <v>1341</v>
      </c>
      <c r="B2135" s="385" t="s">
        <v>237</v>
      </c>
      <c r="C2135" s="399" t="s">
        <v>47</v>
      </c>
      <c r="D2135" s="399" t="s">
        <v>1830</v>
      </c>
      <c r="E2135" s="385" t="s">
        <v>2647</v>
      </c>
      <c r="F2135" s="385" t="s">
        <v>2169</v>
      </c>
      <c r="G2135" s="385"/>
      <c r="H2135" s="401" t="s">
        <v>2648</v>
      </c>
      <c r="I2135" s="385" t="str">
        <f>CONCATENATE(I2136," ","(",H2136,")","-",N2136," ",M2136," ",I2137,"  ","(",H2137,")","-",N2137," ",M2137,"  ",I2137," ","(",H2138,")","-",N2138," ",M2138," ",)</f>
        <v xml:space="preserve">Ремонт трансформаторов 110 кВ (ТМ-6300/110, ТМ-6300/110 1Т, 2Т)-2 шт. Ремонт разъединителей 110 кВ   (ОД-110 ОД 110 1Т, ОД 110 2Т
КЗ-110 КЗ 110 1Т, КЗ 110 2Т)-4 шт.  Ремонт разъединителей 110 кВ  (ТМ-100/6, ТМ-40/6 1ТСН 6, 2ТСН 6)-2 шт. </v>
      </c>
      <c r="J2135" s="489" t="s">
        <v>366</v>
      </c>
      <c r="K2135" s="450">
        <v>44378</v>
      </c>
      <c r="L2135" s="450">
        <v>44469</v>
      </c>
      <c r="M2135" s="490"/>
      <c r="N2135" s="490"/>
    </row>
    <row r="2136" spans="1:14" hidden="1" outlineLevel="2">
      <c r="A2136" s="527"/>
      <c r="B2136" s="385" t="s">
        <v>237</v>
      </c>
      <c r="C2136" s="399"/>
      <c r="D2136" s="399" t="s">
        <v>1830</v>
      </c>
      <c r="E2136" s="385"/>
      <c r="F2136" s="385" t="s">
        <v>2169</v>
      </c>
      <c r="G2136" s="385"/>
      <c r="H2136" s="385" t="s">
        <v>2649</v>
      </c>
      <c r="I2136" s="385" t="s">
        <v>156</v>
      </c>
      <c r="J2136" s="489" t="s">
        <v>366</v>
      </c>
      <c r="K2136" s="450"/>
      <c r="L2136" s="450"/>
      <c r="M2136" s="490" t="s">
        <v>37</v>
      </c>
      <c r="N2136" s="490">
        <v>2</v>
      </c>
    </row>
    <row r="2137" spans="1:14" ht="40.5" hidden="1" outlineLevel="2">
      <c r="A2137" s="527"/>
      <c r="B2137" s="385" t="s">
        <v>237</v>
      </c>
      <c r="C2137" s="399"/>
      <c r="D2137" s="399" t="s">
        <v>1830</v>
      </c>
      <c r="E2137" s="385"/>
      <c r="F2137" s="385" t="s">
        <v>2169</v>
      </c>
      <c r="G2137" s="385"/>
      <c r="H2137" s="385" t="s">
        <v>2650</v>
      </c>
      <c r="I2137" s="385" t="s">
        <v>199</v>
      </c>
      <c r="J2137" s="489" t="s">
        <v>366</v>
      </c>
      <c r="K2137" s="450"/>
      <c r="L2137" s="450"/>
      <c r="M2137" s="490" t="s">
        <v>37</v>
      </c>
      <c r="N2137" s="490">
        <v>4</v>
      </c>
    </row>
    <row r="2138" spans="1:14" hidden="1" outlineLevel="2">
      <c r="A2138" s="527"/>
      <c r="B2138" s="385" t="s">
        <v>298</v>
      </c>
      <c r="C2138" s="399"/>
      <c r="D2138" s="399" t="s">
        <v>1830</v>
      </c>
      <c r="E2138" s="385"/>
      <c r="F2138" s="385" t="s">
        <v>2169</v>
      </c>
      <c r="G2138" s="385"/>
      <c r="H2138" s="385" t="s">
        <v>2651</v>
      </c>
      <c r="I2138" s="385" t="s">
        <v>163</v>
      </c>
      <c r="J2138" s="489" t="s">
        <v>366</v>
      </c>
      <c r="K2138" s="450"/>
      <c r="L2138" s="450"/>
      <c r="M2138" s="490" t="s">
        <v>37</v>
      </c>
      <c r="N2138" s="490">
        <v>2</v>
      </c>
    </row>
    <row r="2139" spans="1:14" s="394" customFormat="1" ht="40.5" outlineLevel="1" collapsed="1">
      <c r="A2139" s="554" t="s">
        <v>1342</v>
      </c>
      <c r="B2139" s="385" t="s">
        <v>237</v>
      </c>
      <c r="C2139" s="399" t="s">
        <v>47</v>
      </c>
      <c r="D2139" s="399" t="s">
        <v>1830</v>
      </c>
      <c r="E2139" s="385" t="s">
        <v>2652</v>
      </c>
      <c r="F2139" s="385" t="s">
        <v>2169</v>
      </c>
      <c r="G2139" s="385"/>
      <c r="H2139" s="401" t="s">
        <v>2653</v>
      </c>
      <c r="I2139" s="385" t="str">
        <f>CONCATENATE(I2140," (",H2140,")",N2140," ",M2140," ",)</f>
        <v xml:space="preserve">Ремонт трансформаторов 110 кВ (ТДЦП-16000-110/10 1Т)1 шт. </v>
      </c>
      <c r="J2139" s="489" t="s">
        <v>366</v>
      </c>
      <c r="K2139" s="450">
        <v>44378</v>
      </c>
      <c r="L2139" s="450">
        <v>44469</v>
      </c>
      <c r="M2139" s="490"/>
      <c r="N2139" s="490"/>
    </row>
    <row r="2140" spans="1:14" hidden="1" outlineLevel="2">
      <c r="A2140" s="527"/>
      <c r="B2140" s="385" t="s">
        <v>237</v>
      </c>
      <c r="C2140" s="399"/>
      <c r="D2140" s="399" t="s">
        <v>1830</v>
      </c>
      <c r="E2140" s="385"/>
      <c r="F2140" s="385" t="s">
        <v>2169</v>
      </c>
      <c r="G2140" s="385"/>
      <c r="H2140" s="385" t="s">
        <v>2654</v>
      </c>
      <c r="I2140" s="385" t="s">
        <v>156</v>
      </c>
      <c r="J2140" s="489" t="s">
        <v>366</v>
      </c>
      <c r="K2140" s="450"/>
      <c r="L2140" s="450"/>
      <c r="M2140" s="490" t="s">
        <v>37</v>
      </c>
      <c r="N2140" s="490">
        <v>1</v>
      </c>
    </row>
    <row r="2141" spans="1:14" s="394" customFormat="1" ht="202.5" outlineLevel="1" collapsed="1">
      <c r="A2141" s="554" t="s">
        <v>1343</v>
      </c>
      <c r="B2141" s="385" t="s">
        <v>237</v>
      </c>
      <c r="C2141" s="399" t="s">
        <v>47</v>
      </c>
      <c r="D2141" s="399" t="s">
        <v>1830</v>
      </c>
      <c r="E2141" s="385" t="s">
        <v>2655</v>
      </c>
      <c r="F2141" s="385" t="s">
        <v>2169</v>
      </c>
      <c r="G2141" s="385"/>
      <c r="H2141" s="401" t="s">
        <v>2656</v>
      </c>
      <c r="I2141" s="385" t="str">
        <f>CONCATENATE(I2142," ","(",H2142,")","-",N2142," ",M2142," ",I2143,"  ","(",H2143,")","-",N2143," ",M2143,"  ",I2143," ","(",H2144,")","-",N2144," ",M2144," ",I2145,"  ","(",H2145,")","-",N2145," ",M2145,"  ",I2146," ","(",H2146,")","-",N2146," ",M2146," ",)</f>
        <v xml:space="preserve">Ремонт выключателей 6-10 кВ (ВМПЭ-6 В 6 яч.1,3,6,8,9,10,13,14,15,18,19,28,31,34)-14 шт  Ремонт трансформаторов напряжения 6-10 кВ  (ТМ-63/6 Т 6 РЭП )-1 шт.  Ремонт трансформаторов напряжения 6-10 кВ (ТМ-250/6, ТМ-160/6 1ТСН 6, 2ТСН 6 )-2 шт. Ремонт разъединителей 110 кВ   (ОД-110 ОД 110 1Т, ОД 110 2Т, 
КЗ 110 КЗ 110 1Т, КЗ 110 2Т, 
ЗОН-110 ЗОН 110 1Т, ЗОН 110 2Т)-6 шт.  Ремонт выключателей 110 кВ (СВ 110)-1 шт. </v>
      </c>
      <c r="J2141" s="489"/>
      <c r="K2141" s="450">
        <v>44378</v>
      </c>
      <c r="L2141" s="450">
        <v>44469</v>
      </c>
      <c r="M2141" s="490"/>
      <c r="N2141" s="490"/>
    </row>
    <row r="2142" spans="1:14" ht="40.5" hidden="1" outlineLevel="2">
      <c r="A2142" s="527"/>
      <c r="B2142" s="385" t="s">
        <v>298</v>
      </c>
      <c r="C2142" s="399"/>
      <c r="D2142" s="399" t="s">
        <v>1830</v>
      </c>
      <c r="E2142" s="385"/>
      <c r="F2142" s="385" t="s">
        <v>2169</v>
      </c>
      <c r="G2142" s="385"/>
      <c r="H2142" s="385" t="s">
        <v>2657</v>
      </c>
      <c r="I2142" s="385" t="s">
        <v>191</v>
      </c>
      <c r="J2142" s="489" t="s">
        <v>366</v>
      </c>
      <c r="K2142" s="474"/>
      <c r="L2142" s="474"/>
      <c r="M2142" s="458" t="s">
        <v>2574</v>
      </c>
      <c r="N2142" s="490">
        <v>14</v>
      </c>
    </row>
    <row r="2143" spans="1:14" hidden="1" outlineLevel="2">
      <c r="A2143" s="527"/>
      <c r="B2143" s="385" t="s">
        <v>298</v>
      </c>
      <c r="C2143" s="399"/>
      <c r="D2143" s="399" t="s">
        <v>1830</v>
      </c>
      <c r="E2143" s="385"/>
      <c r="F2143" s="385" t="s">
        <v>2169</v>
      </c>
      <c r="G2143" s="385"/>
      <c r="H2143" s="385" t="s">
        <v>2658</v>
      </c>
      <c r="I2143" s="385" t="s">
        <v>234</v>
      </c>
      <c r="J2143" s="489" t="s">
        <v>366</v>
      </c>
      <c r="K2143" s="450"/>
      <c r="L2143" s="450"/>
      <c r="M2143" s="490" t="s">
        <v>37</v>
      </c>
      <c r="N2143" s="490">
        <v>1</v>
      </c>
    </row>
    <row r="2144" spans="1:14" hidden="1" outlineLevel="2">
      <c r="A2144" s="527"/>
      <c r="B2144" s="385" t="s">
        <v>298</v>
      </c>
      <c r="C2144" s="399"/>
      <c r="D2144" s="399" t="s">
        <v>1830</v>
      </c>
      <c r="E2144" s="385"/>
      <c r="F2144" s="385" t="s">
        <v>2169</v>
      </c>
      <c r="G2144" s="385"/>
      <c r="H2144" s="385" t="s">
        <v>2659</v>
      </c>
      <c r="I2144" s="385" t="s">
        <v>163</v>
      </c>
      <c r="J2144" s="489" t="s">
        <v>366</v>
      </c>
      <c r="K2144" s="450"/>
      <c r="L2144" s="450"/>
      <c r="M2144" s="490" t="s">
        <v>37</v>
      </c>
      <c r="N2144" s="490">
        <v>2</v>
      </c>
    </row>
    <row r="2145" spans="1:14" ht="60.75" hidden="1" outlineLevel="2">
      <c r="A2145" s="527"/>
      <c r="B2145" s="385" t="s">
        <v>237</v>
      </c>
      <c r="C2145" s="399"/>
      <c r="D2145" s="399" t="s">
        <v>1830</v>
      </c>
      <c r="E2145" s="385"/>
      <c r="F2145" s="385" t="s">
        <v>2169</v>
      </c>
      <c r="G2145" s="385"/>
      <c r="H2145" s="385" t="s">
        <v>2660</v>
      </c>
      <c r="I2145" s="385" t="s">
        <v>199</v>
      </c>
      <c r="J2145" s="489" t="s">
        <v>366</v>
      </c>
      <c r="K2145" s="450"/>
      <c r="L2145" s="450"/>
      <c r="M2145" s="490" t="s">
        <v>37</v>
      </c>
      <c r="N2145" s="490">
        <v>6</v>
      </c>
    </row>
    <row r="2146" spans="1:14" hidden="1" outlineLevel="2">
      <c r="A2146" s="527"/>
      <c r="B2146" s="385" t="s">
        <v>237</v>
      </c>
      <c r="C2146" s="399"/>
      <c r="D2146" s="399" t="s">
        <v>1830</v>
      </c>
      <c r="E2146" s="385"/>
      <c r="F2146" s="385" t="s">
        <v>2169</v>
      </c>
      <c r="G2146" s="385"/>
      <c r="H2146" s="385" t="s">
        <v>2661</v>
      </c>
      <c r="I2146" s="385" t="s">
        <v>186</v>
      </c>
      <c r="J2146" s="489" t="s">
        <v>366</v>
      </c>
      <c r="K2146" s="450"/>
      <c r="L2146" s="450"/>
      <c r="M2146" s="490" t="s">
        <v>37</v>
      </c>
      <c r="N2146" s="490">
        <v>1</v>
      </c>
    </row>
    <row r="2147" spans="1:14" hidden="1" outlineLevel="2">
      <c r="A2147" s="533"/>
      <c r="B2147" s="490"/>
      <c r="C2147" s="399"/>
      <c r="D2147" s="399"/>
      <c r="E2147" s="385"/>
      <c r="F2147" s="385"/>
      <c r="G2147" s="385"/>
      <c r="H2147" s="385"/>
      <c r="I2147" s="385"/>
      <c r="J2147" s="489"/>
      <c r="K2147" s="450"/>
      <c r="L2147" s="450"/>
      <c r="M2147" s="490"/>
      <c r="N2147" s="490"/>
    </row>
    <row r="2148" spans="1:14">
      <c r="A2148" s="490" t="s">
        <v>330</v>
      </c>
      <c r="B2148" s="490"/>
      <c r="C2148" s="398"/>
      <c r="D2148" s="399"/>
      <c r="E2148" s="385"/>
      <c r="F2148" s="400"/>
      <c r="G2148" s="385"/>
      <c r="H2148" s="539" t="s">
        <v>324</v>
      </c>
      <c r="I2148" s="385"/>
      <c r="J2148" s="489"/>
      <c r="K2148" s="450"/>
      <c r="L2148" s="450"/>
      <c r="M2148" s="389"/>
      <c r="N2148" s="390"/>
    </row>
    <row r="2149" spans="1:14" s="394" customFormat="1" ht="81" outlineLevel="1" collapsed="1">
      <c r="A2149" s="489" t="s">
        <v>1361</v>
      </c>
      <c r="B2149" s="490" t="s">
        <v>288</v>
      </c>
      <c r="C2149" s="398" t="s">
        <v>1976</v>
      </c>
      <c r="D2149" s="399" t="s">
        <v>1830</v>
      </c>
      <c r="E2149" s="385"/>
      <c r="F2149" s="385" t="s">
        <v>2169</v>
      </c>
      <c r="G2149" s="385"/>
      <c r="H2149" s="401" t="s">
        <v>2662</v>
      </c>
      <c r="I2149" s="385" t="str">
        <f>CONCATENATE(I2150," ","(",H2150,")","-",N2150," ",M2150," ")</f>
        <v xml:space="preserve">Ремонт разъединителей 6-10 кВ (РВ-10 ШР 10 ТН яч 5, ШР 10 1ТСН яч 6, ШР 10 1Т яч 1, ТР 10 1Т яч 1, ШР 10 яч 2,  ЛР 10 яч 2, ШР 10 яч 3, ЛР 10 яч 3, ШР 10 яч 4,  ЛР 10 яч 4)-10 шт. </v>
      </c>
      <c r="J2149" s="489"/>
      <c r="K2149" s="450">
        <v>44317</v>
      </c>
      <c r="L2149" s="450">
        <v>44347</v>
      </c>
      <c r="M2149" s="490"/>
      <c r="N2149" s="490"/>
    </row>
    <row r="2150" spans="1:14" ht="202.5" hidden="1" outlineLevel="2">
      <c r="A2150" s="438"/>
      <c r="B2150" s="385" t="s">
        <v>298</v>
      </c>
      <c r="C2150" s="398" t="s">
        <v>1976</v>
      </c>
      <c r="D2150" s="399" t="s">
        <v>1830</v>
      </c>
      <c r="E2150" s="385" t="s">
        <v>2663</v>
      </c>
      <c r="F2150" s="385" t="s">
        <v>2169</v>
      </c>
      <c r="G2150" s="385"/>
      <c r="H2150" s="385" t="s">
        <v>2664</v>
      </c>
      <c r="I2150" s="385" t="s">
        <v>2465</v>
      </c>
      <c r="J2150" s="489" t="s">
        <v>366</v>
      </c>
      <c r="K2150" s="450"/>
      <c r="L2150" s="450"/>
      <c r="M2150" s="490" t="s">
        <v>37</v>
      </c>
      <c r="N2150" s="490">
        <v>10</v>
      </c>
    </row>
    <row r="2151" spans="1:14" s="394" customFormat="1" ht="141.75" outlineLevel="1" collapsed="1">
      <c r="A2151" s="489" t="s">
        <v>1362</v>
      </c>
      <c r="B2151" s="385" t="s">
        <v>288</v>
      </c>
      <c r="C2151" s="398" t="s">
        <v>1976</v>
      </c>
      <c r="D2151" s="399" t="s">
        <v>1830</v>
      </c>
      <c r="E2151" s="385"/>
      <c r="F2151" s="385" t="s">
        <v>2169</v>
      </c>
      <c r="G2151" s="385"/>
      <c r="H2151" s="401" t="s">
        <v>2665</v>
      </c>
      <c r="I2151" s="385" t="str">
        <f>CONCATENATE(I2152," ","(",H2152,")","-",N2152," ",M2152," ",I2153,"  ","(",H2153,")","-",N2153," ",M2153," ",I2154," ","(",H2154,")","-",N2154," ",M2154," ",I2155," ","(",H2155,")","-",N2155," ",M2155," ")</f>
        <v xml:space="preserve">Ремонт разъединителей 35 кВ (РНД-35 ШР 35 ТН 2с, СР 35 1с, СР 35 2с)-3 шт. Замена опорно-стержневых изоляторов разъединителей 35 кВ  (РНД-35 ШР 35 ТН 2с, СР 35 1с, СР 35 2с)-18 шт. Ремонт трансформаторов 35 кВ (ТДНС-16000/35 2Т)-1 шт. Ремонт разъединителей 35 кВ (РЛНДЗ-35, РНД-35 ЛР 35 Т1Ф, ЛР 35 Т25Ф, ШР 35 Т25Ф, ШР 35 2Т)-4 шт. </v>
      </c>
      <c r="J2151" s="489"/>
      <c r="K2151" s="450">
        <v>44348</v>
      </c>
      <c r="L2151" s="450">
        <v>44377</v>
      </c>
      <c r="M2151" s="490"/>
      <c r="N2151" s="490"/>
    </row>
    <row r="2152" spans="1:14" ht="60.75" hidden="1" outlineLevel="2">
      <c r="A2152" s="438"/>
      <c r="B2152" s="385" t="s">
        <v>288</v>
      </c>
      <c r="C2152" s="398" t="s">
        <v>1976</v>
      </c>
      <c r="D2152" s="399" t="s">
        <v>1830</v>
      </c>
      <c r="E2152" s="385" t="s">
        <v>2666</v>
      </c>
      <c r="F2152" s="385" t="s">
        <v>2169</v>
      </c>
      <c r="G2152" s="385"/>
      <c r="H2152" s="385" t="s">
        <v>2667</v>
      </c>
      <c r="I2152" s="385" t="s">
        <v>201</v>
      </c>
      <c r="J2152" s="489" t="s">
        <v>365</v>
      </c>
      <c r="K2152" s="450"/>
      <c r="L2152" s="450"/>
      <c r="M2152" s="490" t="s">
        <v>37</v>
      </c>
      <c r="N2152" s="490">
        <v>3</v>
      </c>
    </row>
    <row r="2153" spans="1:14" ht="60.75" hidden="1" outlineLevel="2">
      <c r="A2153" s="438"/>
      <c r="B2153" s="385" t="s">
        <v>288</v>
      </c>
      <c r="C2153" s="398" t="s">
        <v>1976</v>
      </c>
      <c r="D2153" s="399" t="s">
        <v>1830</v>
      </c>
      <c r="E2153" s="385" t="s">
        <v>2666</v>
      </c>
      <c r="F2153" s="385" t="s">
        <v>2169</v>
      </c>
      <c r="G2153" s="385"/>
      <c r="H2153" s="385" t="s">
        <v>2667</v>
      </c>
      <c r="I2153" s="385" t="s">
        <v>204</v>
      </c>
      <c r="J2153" s="489" t="s">
        <v>365</v>
      </c>
      <c r="K2153" s="450"/>
      <c r="L2153" s="450"/>
      <c r="M2153" s="490" t="s">
        <v>37</v>
      </c>
      <c r="N2153" s="490">
        <v>18</v>
      </c>
    </row>
    <row r="2154" spans="1:14" hidden="1" outlineLevel="2">
      <c r="A2154" s="438"/>
      <c r="B2154" s="385" t="s">
        <v>288</v>
      </c>
      <c r="C2154" s="398" t="s">
        <v>1976</v>
      </c>
      <c r="D2154" s="399" t="s">
        <v>1830</v>
      </c>
      <c r="E2154" s="385" t="s">
        <v>2668</v>
      </c>
      <c r="F2154" s="385" t="s">
        <v>2169</v>
      </c>
      <c r="G2154" s="385"/>
      <c r="H2154" s="385" t="s">
        <v>2669</v>
      </c>
      <c r="I2154" s="385" t="s">
        <v>160</v>
      </c>
      <c r="J2154" s="489" t="s">
        <v>366</v>
      </c>
      <c r="K2154" s="450"/>
      <c r="L2154" s="450"/>
      <c r="M2154" s="490" t="s">
        <v>37</v>
      </c>
      <c r="N2154" s="490">
        <v>1</v>
      </c>
    </row>
    <row r="2155" spans="1:14" ht="81" hidden="1" outlineLevel="2">
      <c r="A2155" s="450"/>
      <c r="B2155" s="385" t="s">
        <v>288</v>
      </c>
      <c r="C2155" s="398" t="s">
        <v>1976</v>
      </c>
      <c r="D2155" s="399" t="s">
        <v>1830</v>
      </c>
      <c r="E2155" s="385" t="s">
        <v>2670</v>
      </c>
      <c r="F2155" s="385" t="s">
        <v>2169</v>
      </c>
      <c r="G2155" s="385"/>
      <c r="H2155" s="385" t="s">
        <v>2671</v>
      </c>
      <c r="I2155" s="385" t="s">
        <v>201</v>
      </c>
      <c r="J2155" s="489" t="s">
        <v>366</v>
      </c>
      <c r="K2155" s="450"/>
      <c r="L2155" s="450"/>
      <c r="M2155" s="490" t="s">
        <v>37</v>
      </c>
      <c r="N2155" s="490">
        <v>4</v>
      </c>
    </row>
    <row r="2156" spans="1:14" s="394" customFormat="1" ht="274.5" customHeight="1" outlineLevel="1" collapsed="1">
      <c r="A2156" s="489" t="s">
        <v>1363</v>
      </c>
      <c r="B2156" s="385" t="s">
        <v>288</v>
      </c>
      <c r="C2156" s="398" t="s">
        <v>1976</v>
      </c>
      <c r="D2156" s="399" t="s">
        <v>1830</v>
      </c>
      <c r="E2156" s="385"/>
      <c r="F2156" s="385" t="s">
        <v>2169</v>
      </c>
      <c r="G2156" s="385"/>
      <c r="H2156" s="401" t="s">
        <v>2672</v>
      </c>
      <c r="I2156" s="385" t="str">
        <f>CONCATENATE(I2157," ","(",H2157,")","-",N2157," ",M2157," ",I2158,"  ","(",H2158,")","-",N2158," ",M2158," ",I2159," ","(",H2159,")","-",N2159," ",M2159," ",I2160," ","(",H2160,")","-",N2160," ",M2160," ",I2161," ","(",H2161,")","-",N2161," ",M2161," ",I2162," ","(",H2162,")","-",N2162," ",M2162," ",I2163," ","(",H2163,")","-",N2163," ",M2163," ",I2164," ","(",H2164,")","-",N2164," ",M2164," ",I2165," ","(",H2165,")","-",N2165," ",M2165," ",)</f>
        <v xml:space="preserve">Ремонт выключателей 35 кВ (С-35М, С-35В 35 Т10Ф, В 35 Т11Ф, В 35 1Т, В 35 2Т)-4 шт. Ремонт разъединителей 35 кВ  (РНДЗ-35 ЛР 35 Т10Ф, ЛР 35 Т11Ф, ШР 35 Т10Ф, ШР 35 Т11Ф)-4 шт. Замена опорно-стержневых изоляторов разъединителей 35 кВ (РНДЗ-35 ЛР 35 Т10Ф, ЛР 35 Т11Ф, ШР 35 Т10Ф, ШР 35 Т11Ф)-24 шт. Ремонт трансформаторов 35 кВ (ТМН-6300/35 2Т)-1 шт. Ремонт трансформаторов СН (ТМ-100/10, ТМ-63/10 1ТСН 10, 2ТСН 10)-2 шт. Ремонт трансформаторов напряжения 35 кВ (ЗНОМ-35 ТН 35 1с, ТН 35 2с)-6 шт. Ремонт разрядников 6-10 кВ (РВП-10 ОПН 10 1с, ОПН 10 2с)-6 шт. Ремонт трансформаторов напряжения 6-10 кВ (НАМИТ-10 ТН 10 1с, ТН 10 2с)-2 шт. Ремонт выключателей 6-10 кВ (ВМП-10К В 10 2Т, В 10 яч 8, В 10 яч 10, В 10  яч  7, В 10 1Т,  В 10 яч 14, В 10 яч  11)-7 шт. </v>
      </c>
      <c r="J2156" s="489"/>
      <c r="K2156" s="450">
        <v>44348</v>
      </c>
      <c r="L2156" s="450">
        <v>44408</v>
      </c>
      <c r="M2156" s="490"/>
      <c r="N2156" s="490"/>
    </row>
    <row r="2157" spans="1:14" ht="81" hidden="1" outlineLevel="2">
      <c r="A2157" s="438"/>
      <c r="B2157" s="385" t="s">
        <v>288</v>
      </c>
      <c r="C2157" s="398" t="s">
        <v>1976</v>
      </c>
      <c r="D2157" s="399" t="s">
        <v>1830</v>
      </c>
      <c r="E2157" s="385" t="s">
        <v>2673</v>
      </c>
      <c r="F2157" s="385" t="s">
        <v>2169</v>
      </c>
      <c r="G2157" s="385"/>
      <c r="H2157" s="385" t="s">
        <v>2674</v>
      </c>
      <c r="I2157" s="385" t="s">
        <v>189</v>
      </c>
      <c r="J2157" s="489" t="s">
        <v>365</v>
      </c>
      <c r="K2157" s="450"/>
      <c r="L2157" s="450"/>
      <c r="M2157" s="490" t="s">
        <v>37</v>
      </c>
      <c r="N2157" s="490">
        <v>4</v>
      </c>
    </row>
    <row r="2158" spans="1:14" ht="40.5" hidden="1" outlineLevel="2">
      <c r="A2158" s="438"/>
      <c r="B2158" s="385" t="s">
        <v>288</v>
      </c>
      <c r="C2158" s="398" t="s">
        <v>1976</v>
      </c>
      <c r="D2158" s="399" t="s">
        <v>1830</v>
      </c>
      <c r="E2158" s="385" t="s">
        <v>2675</v>
      </c>
      <c r="F2158" s="385" t="s">
        <v>2169</v>
      </c>
      <c r="G2158" s="385"/>
      <c r="H2158" s="385" t="s">
        <v>2676</v>
      </c>
      <c r="I2158" s="385" t="s">
        <v>201</v>
      </c>
      <c r="J2158" s="489" t="s">
        <v>365</v>
      </c>
      <c r="K2158" s="450"/>
      <c r="L2158" s="450"/>
      <c r="M2158" s="490" t="s">
        <v>37</v>
      </c>
      <c r="N2158" s="490">
        <v>4</v>
      </c>
    </row>
    <row r="2159" spans="1:14" ht="40.5" hidden="1" outlineLevel="2">
      <c r="A2159" s="438"/>
      <c r="B2159" s="385" t="s">
        <v>288</v>
      </c>
      <c r="C2159" s="398" t="s">
        <v>1976</v>
      </c>
      <c r="D2159" s="399" t="s">
        <v>1830</v>
      </c>
      <c r="E2159" s="385" t="s">
        <v>2675</v>
      </c>
      <c r="F2159" s="385" t="s">
        <v>2169</v>
      </c>
      <c r="G2159" s="385"/>
      <c r="H2159" s="385" t="s">
        <v>2676</v>
      </c>
      <c r="I2159" s="385" t="s">
        <v>204</v>
      </c>
      <c r="J2159" s="489" t="s">
        <v>365</v>
      </c>
      <c r="K2159" s="450"/>
      <c r="L2159" s="450"/>
      <c r="M2159" s="490" t="s">
        <v>37</v>
      </c>
      <c r="N2159" s="490">
        <v>24</v>
      </c>
    </row>
    <row r="2160" spans="1:14" hidden="1" outlineLevel="2">
      <c r="A2160" s="438"/>
      <c r="B2160" s="385" t="s">
        <v>288</v>
      </c>
      <c r="C2160" s="398" t="s">
        <v>1976</v>
      </c>
      <c r="D2160" s="399" t="s">
        <v>1830</v>
      </c>
      <c r="E2160" s="385" t="s">
        <v>3581</v>
      </c>
      <c r="F2160" s="385" t="s">
        <v>2169</v>
      </c>
      <c r="G2160" s="385"/>
      <c r="H2160" s="385" t="s">
        <v>3582</v>
      </c>
      <c r="I2160" s="385" t="s">
        <v>160</v>
      </c>
      <c r="J2160" s="489" t="s">
        <v>366</v>
      </c>
      <c r="K2160" s="450"/>
      <c r="L2160" s="450"/>
      <c r="M2160" s="490" t="s">
        <v>37</v>
      </c>
      <c r="N2160" s="490">
        <v>1</v>
      </c>
    </row>
    <row r="2161" spans="1:14" ht="40.5" hidden="1" outlineLevel="2">
      <c r="A2161" s="438"/>
      <c r="B2161" s="385" t="s">
        <v>298</v>
      </c>
      <c r="C2161" s="398" t="s">
        <v>1976</v>
      </c>
      <c r="D2161" s="399" t="s">
        <v>1830</v>
      </c>
      <c r="E2161" s="385" t="s">
        <v>2677</v>
      </c>
      <c r="F2161" s="385" t="s">
        <v>2169</v>
      </c>
      <c r="G2161" s="385"/>
      <c r="H2161" s="385" t="s">
        <v>2678</v>
      </c>
      <c r="I2161" s="385" t="s">
        <v>163</v>
      </c>
      <c r="J2161" s="489" t="s">
        <v>366</v>
      </c>
      <c r="K2161" s="450"/>
      <c r="L2161" s="450"/>
      <c r="M2161" s="490" t="s">
        <v>37</v>
      </c>
      <c r="N2161" s="490">
        <v>2</v>
      </c>
    </row>
    <row r="2162" spans="1:14" ht="40.5" hidden="1" outlineLevel="2">
      <c r="A2162" s="438"/>
      <c r="B2162" s="385" t="s">
        <v>288</v>
      </c>
      <c r="C2162" s="398" t="s">
        <v>1976</v>
      </c>
      <c r="D2162" s="399" t="s">
        <v>1830</v>
      </c>
      <c r="E2162" s="385" t="s">
        <v>2679</v>
      </c>
      <c r="F2162" s="385" t="s">
        <v>2169</v>
      </c>
      <c r="G2162" s="385"/>
      <c r="H2162" s="385" t="s">
        <v>2606</v>
      </c>
      <c r="I2162" s="385" t="s">
        <v>220</v>
      </c>
      <c r="J2162" s="489" t="s">
        <v>366</v>
      </c>
      <c r="K2162" s="450"/>
      <c r="L2162" s="450"/>
      <c r="M2162" s="490" t="s">
        <v>37</v>
      </c>
      <c r="N2162" s="490">
        <v>6</v>
      </c>
    </row>
    <row r="2163" spans="1:14" ht="40.5" hidden="1" outlineLevel="2">
      <c r="A2163" s="438"/>
      <c r="B2163" s="385" t="s">
        <v>298</v>
      </c>
      <c r="C2163" s="398" t="s">
        <v>1976</v>
      </c>
      <c r="D2163" s="399" t="s">
        <v>1830</v>
      </c>
      <c r="E2163" s="385" t="s">
        <v>2680</v>
      </c>
      <c r="F2163" s="385" t="s">
        <v>2169</v>
      </c>
      <c r="G2163" s="385"/>
      <c r="H2163" s="385" t="s">
        <v>2681</v>
      </c>
      <c r="I2163" s="385" t="s">
        <v>2682</v>
      </c>
      <c r="J2163" s="489" t="s">
        <v>366</v>
      </c>
      <c r="K2163" s="450"/>
      <c r="L2163" s="450"/>
      <c r="M2163" s="490" t="s">
        <v>37</v>
      </c>
      <c r="N2163" s="490">
        <v>6</v>
      </c>
    </row>
    <row r="2164" spans="1:14" ht="40.5" hidden="1" outlineLevel="2">
      <c r="A2164" s="438"/>
      <c r="B2164" s="385" t="s">
        <v>298</v>
      </c>
      <c r="C2164" s="398" t="s">
        <v>1976</v>
      </c>
      <c r="D2164" s="399" t="s">
        <v>1830</v>
      </c>
      <c r="E2164" s="385" t="s">
        <v>2680</v>
      </c>
      <c r="F2164" s="385" t="s">
        <v>2169</v>
      </c>
      <c r="G2164" s="385"/>
      <c r="H2164" s="385" t="s">
        <v>2683</v>
      </c>
      <c r="I2164" s="385" t="s">
        <v>234</v>
      </c>
      <c r="J2164" s="489" t="s">
        <v>366</v>
      </c>
      <c r="K2164" s="450"/>
      <c r="L2164" s="450"/>
      <c r="M2164" s="490" t="s">
        <v>37</v>
      </c>
      <c r="N2164" s="490">
        <v>2</v>
      </c>
    </row>
    <row r="2165" spans="1:14" ht="141.75" hidden="1" outlineLevel="2">
      <c r="A2165" s="438"/>
      <c r="B2165" s="385" t="s">
        <v>298</v>
      </c>
      <c r="C2165" s="398" t="s">
        <v>1976</v>
      </c>
      <c r="D2165" s="399" t="s">
        <v>1830</v>
      </c>
      <c r="E2165" s="385" t="s">
        <v>2684</v>
      </c>
      <c r="F2165" s="385" t="s">
        <v>2169</v>
      </c>
      <c r="G2165" s="385"/>
      <c r="H2165" s="385" t="s">
        <v>2685</v>
      </c>
      <c r="I2165" s="385" t="s">
        <v>191</v>
      </c>
      <c r="J2165" s="489" t="s">
        <v>366</v>
      </c>
      <c r="K2165" s="450"/>
      <c r="L2165" s="450"/>
      <c r="M2165" s="490" t="s">
        <v>37</v>
      </c>
      <c r="N2165" s="490">
        <v>7</v>
      </c>
    </row>
    <row r="2166" spans="1:14" s="394" customFormat="1" ht="101.25" outlineLevel="1" collapsed="1">
      <c r="A2166" s="489" t="s">
        <v>1364</v>
      </c>
      <c r="B2166" s="385" t="s">
        <v>288</v>
      </c>
      <c r="C2166" s="398" t="s">
        <v>1976</v>
      </c>
      <c r="D2166" s="399" t="s">
        <v>1830</v>
      </c>
      <c r="E2166" s="385"/>
      <c r="F2166" s="385" t="s">
        <v>2169</v>
      </c>
      <c r="G2166" s="385"/>
      <c r="H2166" s="401" t="s">
        <v>2686</v>
      </c>
      <c r="I2166" s="385" t="str">
        <f>CONCATENATE(I2167," ","(",H2167,")","-",N2167," ",M2167," ",I2168,"  ","(",H2168,")","-",N2168," ",M2168," ",I2169," ","(",H2169,")","-",N2169," ",M2169," ",)</f>
        <v xml:space="preserve">Ремонт разъединителей 35 кВ (РНДЗ-35 ЛР 35 Т7Ф, ШР 35 2Т, СР 35 1с, СР 35 2с)-4 шт. Ремонт трансформаторов СН  (ТМ-25/10 2ТСН 10)-1 шт. Ремонт разъединителей 6-10 кВ (РВ-10 ШР 10 2 ТСН)-1 шт. </v>
      </c>
      <c r="J2166" s="489"/>
      <c r="K2166" s="450">
        <v>44317</v>
      </c>
      <c r="L2166" s="450">
        <v>44347</v>
      </c>
      <c r="M2166" s="490"/>
      <c r="N2166" s="490"/>
    </row>
    <row r="2167" spans="1:14" ht="60.75" hidden="1" outlineLevel="2">
      <c r="A2167" s="438"/>
      <c r="B2167" s="385" t="s">
        <v>288</v>
      </c>
      <c r="C2167" s="398" t="s">
        <v>1976</v>
      </c>
      <c r="D2167" s="399" t="s">
        <v>1830</v>
      </c>
      <c r="E2167" s="385" t="s">
        <v>2687</v>
      </c>
      <c r="F2167" s="385" t="s">
        <v>2169</v>
      </c>
      <c r="G2167" s="385"/>
      <c r="H2167" s="385" t="s">
        <v>2688</v>
      </c>
      <c r="I2167" s="385" t="s">
        <v>201</v>
      </c>
      <c r="J2167" s="489" t="s">
        <v>365</v>
      </c>
      <c r="K2167" s="450"/>
      <c r="L2167" s="450"/>
      <c r="M2167" s="490" t="s">
        <v>37</v>
      </c>
      <c r="N2167" s="490">
        <v>4</v>
      </c>
    </row>
    <row r="2168" spans="1:14" hidden="1" outlineLevel="2">
      <c r="A2168" s="438"/>
      <c r="B2168" s="385" t="s">
        <v>298</v>
      </c>
      <c r="C2168" s="398" t="s">
        <v>1976</v>
      </c>
      <c r="D2168" s="399" t="s">
        <v>1830</v>
      </c>
      <c r="E2168" s="385" t="s">
        <v>2689</v>
      </c>
      <c r="F2168" s="385" t="s">
        <v>2169</v>
      </c>
      <c r="G2168" s="385"/>
      <c r="H2168" s="385" t="s">
        <v>2690</v>
      </c>
      <c r="I2168" s="385" t="s">
        <v>163</v>
      </c>
      <c r="J2168" s="489" t="s">
        <v>366</v>
      </c>
      <c r="K2168" s="450"/>
      <c r="L2168" s="450"/>
      <c r="M2168" s="490" t="s">
        <v>37</v>
      </c>
      <c r="N2168" s="490">
        <v>1</v>
      </c>
    </row>
    <row r="2169" spans="1:14" hidden="1" outlineLevel="2">
      <c r="A2169" s="438"/>
      <c r="B2169" s="385" t="s">
        <v>298</v>
      </c>
      <c r="C2169" s="398" t="s">
        <v>1976</v>
      </c>
      <c r="D2169" s="399" t="s">
        <v>1830</v>
      </c>
      <c r="E2169" s="385" t="s">
        <v>2689</v>
      </c>
      <c r="F2169" s="385" t="s">
        <v>2169</v>
      </c>
      <c r="G2169" s="385"/>
      <c r="H2169" s="385" t="s">
        <v>2691</v>
      </c>
      <c r="I2169" s="385" t="s">
        <v>2465</v>
      </c>
      <c r="J2169" s="489" t="s">
        <v>366</v>
      </c>
      <c r="K2169" s="450"/>
      <c r="L2169" s="450"/>
      <c r="M2169" s="490" t="s">
        <v>37</v>
      </c>
      <c r="N2169" s="490">
        <v>1</v>
      </c>
    </row>
    <row r="2170" spans="1:14" s="394" customFormat="1" ht="87.75" customHeight="1" outlineLevel="1" collapsed="1">
      <c r="A2170" s="489" t="s">
        <v>1365</v>
      </c>
      <c r="B2170" s="385" t="s">
        <v>288</v>
      </c>
      <c r="C2170" s="398" t="s">
        <v>1976</v>
      </c>
      <c r="D2170" s="399" t="s">
        <v>1830</v>
      </c>
      <c r="E2170" s="385"/>
      <c r="F2170" s="385" t="s">
        <v>2169</v>
      </c>
      <c r="G2170" s="385"/>
      <c r="H2170" s="401" t="s">
        <v>2692</v>
      </c>
      <c r="I2170" s="385" t="str">
        <f>CONCATENATE(I2171," ","(",H2171,")","-",N2171," ",M2171," ",I2172,"  ","(",H2172,")","-",N2172," ",M2172," ",)</f>
        <v xml:space="preserve">Ремонт трансформаторов СН (ТМ-100/10, ТМ-50/10 1ТСН 10, 2ТСН 10)-2 шт. Ремонт разъединителей 35 кВ  (РЛНЗ-35 ЛР 35 Т4Ф, ЛР 35 Т5Ф, ШР 35 ОПН 2с, ШР 35 1Т, ШР 35 2Т, СР 35 1с, СР 35 2с)-7 шт. </v>
      </c>
      <c r="J2170" s="489"/>
      <c r="K2170" s="450">
        <v>44470</v>
      </c>
      <c r="L2170" s="450">
        <v>44500</v>
      </c>
      <c r="M2170" s="490"/>
      <c r="N2170" s="490"/>
    </row>
    <row r="2171" spans="1:14" ht="40.5" hidden="1" outlineLevel="2">
      <c r="A2171" s="438"/>
      <c r="B2171" s="385" t="s">
        <v>298</v>
      </c>
      <c r="C2171" s="398" t="s">
        <v>1976</v>
      </c>
      <c r="D2171" s="399" t="s">
        <v>1830</v>
      </c>
      <c r="E2171" s="385" t="s">
        <v>2693</v>
      </c>
      <c r="F2171" s="385" t="s">
        <v>2169</v>
      </c>
      <c r="G2171" s="385"/>
      <c r="H2171" s="385" t="s">
        <v>2694</v>
      </c>
      <c r="I2171" s="385" t="s">
        <v>163</v>
      </c>
      <c r="J2171" s="489" t="s">
        <v>366</v>
      </c>
      <c r="K2171" s="450"/>
      <c r="L2171" s="450"/>
      <c r="M2171" s="490" t="s">
        <v>37</v>
      </c>
      <c r="N2171" s="490">
        <v>2</v>
      </c>
    </row>
    <row r="2172" spans="1:14" ht="141.75" hidden="1" outlineLevel="2">
      <c r="A2172" s="438"/>
      <c r="B2172" s="385" t="s">
        <v>288</v>
      </c>
      <c r="C2172" s="398" t="s">
        <v>1976</v>
      </c>
      <c r="D2172" s="399" t="s">
        <v>1830</v>
      </c>
      <c r="E2172" s="385" t="s">
        <v>2695</v>
      </c>
      <c r="F2172" s="385" t="s">
        <v>2169</v>
      </c>
      <c r="G2172" s="385"/>
      <c r="H2172" s="385" t="s">
        <v>2696</v>
      </c>
      <c r="I2172" s="385" t="s">
        <v>201</v>
      </c>
      <c r="J2172" s="489" t="s">
        <v>366</v>
      </c>
      <c r="K2172" s="450"/>
      <c r="L2172" s="450"/>
      <c r="M2172" s="490" t="s">
        <v>37</v>
      </c>
      <c r="N2172" s="490">
        <v>7</v>
      </c>
    </row>
    <row r="2173" spans="1:14" s="394" customFormat="1" ht="94.5" customHeight="1" outlineLevel="1" collapsed="1">
      <c r="A2173" s="489" t="s">
        <v>1366</v>
      </c>
      <c r="B2173" s="385" t="s">
        <v>288</v>
      </c>
      <c r="C2173" s="398" t="s">
        <v>1976</v>
      </c>
      <c r="D2173" s="399" t="s">
        <v>1830</v>
      </c>
      <c r="E2173" s="385"/>
      <c r="F2173" s="385" t="s">
        <v>2169</v>
      </c>
      <c r="G2173" s="385"/>
      <c r="H2173" s="401" t="s">
        <v>2697</v>
      </c>
      <c r="I2173" s="385" t="str">
        <f>CONCATENATE(I2174," ","(",H2174,")","-",N2174," ",M2174," ",I2175,"  ","(",H2175,")","-",N2175," ",M2175," ",I2176," ","(",H2176,")","-",N2176," ",M2176," ",)</f>
        <v xml:space="preserve">Ремонт трансформаторов 35 кВ (ТМ-6300/35, ТДНС-10000/35 1Т, 2Т)-2 шт. Ремонт трансформаторов СН  (ТМ-100/10 1ТСН 10, 2ТСН 10)-2 шт. Ремонт трансформаторов напряжения 35 кВ (ЗНОМ-35 ТН 35 1с, ТН 35 2с)-6 шт. </v>
      </c>
      <c r="J2173" s="489"/>
      <c r="K2173" s="450">
        <v>44409</v>
      </c>
      <c r="L2173" s="450">
        <v>44469</v>
      </c>
      <c r="M2173" s="490"/>
      <c r="N2173" s="490"/>
    </row>
    <row r="2174" spans="1:14" ht="81" hidden="1" customHeight="1" outlineLevel="2">
      <c r="A2174" s="438"/>
      <c r="B2174" s="385" t="s">
        <v>288</v>
      </c>
      <c r="C2174" s="398" t="s">
        <v>1976</v>
      </c>
      <c r="D2174" s="399" t="s">
        <v>1830</v>
      </c>
      <c r="E2174" s="385" t="s">
        <v>2698</v>
      </c>
      <c r="F2174" s="385" t="s">
        <v>2169</v>
      </c>
      <c r="G2174" s="385"/>
      <c r="H2174" s="385" t="s">
        <v>2699</v>
      </c>
      <c r="I2174" s="385" t="s">
        <v>160</v>
      </c>
      <c r="J2174" s="489" t="s">
        <v>366</v>
      </c>
      <c r="K2174" s="450"/>
      <c r="L2174" s="450"/>
      <c r="M2174" s="490" t="s">
        <v>37</v>
      </c>
      <c r="N2174" s="490">
        <v>2</v>
      </c>
    </row>
    <row r="2175" spans="1:14" ht="81" hidden="1" customHeight="1" outlineLevel="2">
      <c r="A2175" s="438"/>
      <c r="B2175" s="385" t="s">
        <v>298</v>
      </c>
      <c r="C2175" s="398" t="s">
        <v>1976</v>
      </c>
      <c r="D2175" s="399" t="s">
        <v>1830</v>
      </c>
      <c r="E2175" s="385" t="s">
        <v>2700</v>
      </c>
      <c r="F2175" s="385" t="s">
        <v>2169</v>
      </c>
      <c r="G2175" s="385"/>
      <c r="H2175" s="385" t="s">
        <v>2701</v>
      </c>
      <c r="I2175" s="385" t="s">
        <v>163</v>
      </c>
      <c r="J2175" s="489" t="s">
        <v>366</v>
      </c>
      <c r="K2175" s="450"/>
      <c r="L2175" s="450"/>
      <c r="M2175" s="490" t="s">
        <v>37</v>
      </c>
      <c r="N2175" s="490">
        <v>2</v>
      </c>
    </row>
    <row r="2176" spans="1:14" ht="243" hidden="1" customHeight="1" outlineLevel="2">
      <c r="A2176" s="438"/>
      <c r="B2176" s="385" t="s">
        <v>300</v>
      </c>
      <c r="C2176" s="398" t="s">
        <v>1976</v>
      </c>
      <c r="D2176" s="399" t="s">
        <v>1830</v>
      </c>
      <c r="E2176" s="385" t="s">
        <v>2702</v>
      </c>
      <c r="F2176" s="385" t="s">
        <v>2169</v>
      </c>
      <c r="G2176" s="385"/>
      <c r="H2176" s="385" t="s">
        <v>2606</v>
      </c>
      <c r="I2176" s="385" t="s">
        <v>220</v>
      </c>
      <c r="J2176" s="489" t="s">
        <v>366</v>
      </c>
      <c r="K2176" s="450"/>
      <c r="L2176" s="450"/>
      <c r="M2176" s="490" t="s">
        <v>37</v>
      </c>
      <c r="N2176" s="490">
        <v>6</v>
      </c>
    </row>
    <row r="2177" spans="1:14" s="394" customFormat="1" ht="40.5" outlineLevel="1" collapsed="1">
      <c r="A2177" s="489" t="s">
        <v>1367</v>
      </c>
      <c r="B2177" s="385" t="s">
        <v>288</v>
      </c>
      <c r="C2177" s="398" t="s">
        <v>1976</v>
      </c>
      <c r="D2177" s="399" t="s">
        <v>1830</v>
      </c>
      <c r="E2177" s="385"/>
      <c r="F2177" s="385" t="s">
        <v>2169</v>
      </c>
      <c r="G2177" s="385"/>
      <c r="H2177" s="401" t="s">
        <v>2703</v>
      </c>
      <c r="I2177" s="385" t="str">
        <f>CONCATENATE(I2178," ","(",H2178,")","-",N2178," ",M2178," ")</f>
        <v xml:space="preserve">Ремонт трансформаторов 35 кВ (ТМН-6300/35 1Т, 2Т)-2 шт. </v>
      </c>
      <c r="J2177" s="489"/>
      <c r="K2177" s="450">
        <v>44409</v>
      </c>
      <c r="L2177" s="450">
        <v>44439</v>
      </c>
      <c r="M2177" s="490"/>
      <c r="N2177" s="490"/>
    </row>
    <row r="2178" spans="1:14" ht="81" hidden="1" customHeight="1" outlineLevel="2">
      <c r="A2178" s="438"/>
      <c r="B2178" s="385" t="s">
        <v>300</v>
      </c>
      <c r="C2178" s="398" t="s">
        <v>1976</v>
      </c>
      <c r="D2178" s="399" t="s">
        <v>1830</v>
      </c>
      <c r="E2178" s="385" t="s">
        <v>2704</v>
      </c>
      <c r="F2178" s="385" t="s">
        <v>2169</v>
      </c>
      <c r="G2178" s="385"/>
      <c r="H2178" s="385" t="s">
        <v>2705</v>
      </c>
      <c r="I2178" s="385" t="s">
        <v>160</v>
      </c>
      <c r="J2178" s="489" t="s">
        <v>366</v>
      </c>
      <c r="K2178" s="450"/>
      <c r="L2178" s="450"/>
      <c r="M2178" s="490" t="s">
        <v>37</v>
      </c>
      <c r="N2178" s="490">
        <v>2</v>
      </c>
    </row>
    <row r="2179" spans="1:14" s="394" customFormat="1" ht="40.5" outlineLevel="1" collapsed="1">
      <c r="A2179" s="489" t="s">
        <v>1368</v>
      </c>
      <c r="B2179" s="385" t="s">
        <v>288</v>
      </c>
      <c r="C2179" s="398" t="s">
        <v>1976</v>
      </c>
      <c r="D2179" s="399" t="s">
        <v>1830</v>
      </c>
      <c r="E2179" s="385"/>
      <c r="F2179" s="385" t="s">
        <v>2169</v>
      </c>
      <c r="G2179" s="385"/>
      <c r="H2179" s="401" t="s">
        <v>2706</v>
      </c>
      <c r="I2179" s="385" t="str">
        <f>CONCATENATE(I2180," ","(",H2180,")","-",N2180," ",M2180," ")</f>
        <v xml:space="preserve">Ремонт трансформаторов напряжения 6-10 кВ (НАМИ-10 1ТН 10, 2ТН 10)-2 шт. </v>
      </c>
      <c r="J2179" s="489"/>
      <c r="K2179" s="450">
        <v>44409</v>
      </c>
      <c r="L2179" s="450">
        <v>44439</v>
      </c>
      <c r="M2179" s="490"/>
      <c r="N2179" s="490"/>
    </row>
    <row r="2180" spans="1:14" ht="40.5" hidden="1" outlineLevel="2">
      <c r="A2180" s="438"/>
      <c r="B2180" s="385" t="s">
        <v>298</v>
      </c>
      <c r="C2180" s="398" t="s">
        <v>1976</v>
      </c>
      <c r="D2180" s="399" t="s">
        <v>1830</v>
      </c>
      <c r="E2180" s="385" t="s">
        <v>2707</v>
      </c>
      <c r="F2180" s="385" t="s">
        <v>2169</v>
      </c>
      <c r="G2180" s="385"/>
      <c r="H2180" s="385" t="s">
        <v>2708</v>
      </c>
      <c r="I2180" s="385" t="s">
        <v>234</v>
      </c>
      <c r="J2180" s="489" t="s">
        <v>366</v>
      </c>
      <c r="K2180" s="450"/>
      <c r="L2180" s="450"/>
      <c r="M2180" s="490" t="s">
        <v>37</v>
      </c>
      <c r="N2180" s="490">
        <v>2</v>
      </c>
    </row>
    <row r="2181" spans="1:14" s="394" customFormat="1" ht="121.5" outlineLevel="1" collapsed="1">
      <c r="A2181" s="489" t="s">
        <v>1369</v>
      </c>
      <c r="B2181" s="385" t="s">
        <v>288</v>
      </c>
      <c r="C2181" s="398" t="s">
        <v>1976</v>
      </c>
      <c r="D2181" s="399" t="s">
        <v>1830</v>
      </c>
      <c r="E2181" s="385"/>
      <c r="F2181" s="385" t="s">
        <v>2169</v>
      </c>
      <c r="G2181" s="385"/>
      <c r="H2181" s="401" t="s">
        <v>2709</v>
      </c>
      <c r="I2181" s="385" t="str">
        <f>CONCATENATE(I2182," ","(",H2182,")","-",N2182," ",M2182," ",I2183,"  ","(",H2183,")","-",N2183," ",M2183," ",I2184," ","(",H2184,")","-",N2184," ",M2184," ",)</f>
        <v xml:space="preserve">Ремонт выключателей 6-10 кВ (ВМПЭ-10 В 10 яч 1, В 10 яч 2, В 10 яч 7, В 10 яч 10, В 10 яч 13, В 10 яч 8, В 10 яч 19, В 10 яч 17, В 10 яч 14)-9 шт. Ремонт трансформаторов 35 кВ  (ТДНС-10000/35 1Т, 2Т)-2 шт. Ремонт выключателей 35 кВ (С-35М СВ 35, В 35 Т2Ф, В 35 Т23Ф)-3 шт. </v>
      </c>
      <c r="J2181" s="489"/>
      <c r="K2181" s="450">
        <v>44409</v>
      </c>
      <c r="L2181" s="450">
        <v>44500</v>
      </c>
      <c r="M2181" s="490"/>
      <c r="N2181" s="490"/>
    </row>
    <row r="2182" spans="1:14" ht="162" hidden="1" outlineLevel="2">
      <c r="A2182" s="438"/>
      <c r="B2182" s="385" t="s">
        <v>298</v>
      </c>
      <c r="C2182" s="398" t="s">
        <v>1976</v>
      </c>
      <c r="D2182" s="399" t="s">
        <v>1830</v>
      </c>
      <c r="E2182" s="385" t="s">
        <v>2710</v>
      </c>
      <c r="F2182" s="385" t="s">
        <v>2169</v>
      </c>
      <c r="G2182" s="385"/>
      <c r="H2182" s="385" t="s">
        <v>2711</v>
      </c>
      <c r="I2182" s="385" t="s">
        <v>191</v>
      </c>
      <c r="J2182" s="489" t="s">
        <v>365</v>
      </c>
      <c r="K2182" s="450"/>
      <c r="L2182" s="450"/>
      <c r="M2182" s="490" t="s">
        <v>37</v>
      </c>
      <c r="N2182" s="490">
        <v>9</v>
      </c>
    </row>
    <row r="2183" spans="1:14" ht="40.5" hidden="1" outlineLevel="2">
      <c r="A2183" s="438"/>
      <c r="B2183" s="385" t="s">
        <v>300</v>
      </c>
      <c r="C2183" s="398" t="s">
        <v>1976</v>
      </c>
      <c r="D2183" s="399" t="s">
        <v>1830</v>
      </c>
      <c r="E2183" s="385" t="s">
        <v>2712</v>
      </c>
      <c r="F2183" s="385" t="s">
        <v>2169</v>
      </c>
      <c r="G2183" s="385"/>
      <c r="H2183" s="385" t="s">
        <v>2713</v>
      </c>
      <c r="I2183" s="385" t="s">
        <v>160</v>
      </c>
      <c r="J2183" s="489" t="s">
        <v>366</v>
      </c>
      <c r="K2183" s="450"/>
      <c r="L2183" s="450"/>
      <c r="M2183" s="490" t="s">
        <v>37</v>
      </c>
      <c r="N2183" s="490">
        <v>2</v>
      </c>
    </row>
    <row r="2184" spans="1:14" ht="60.75" hidden="1" outlineLevel="2">
      <c r="A2184" s="438"/>
      <c r="B2184" s="385" t="s">
        <v>300</v>
      </c>
      <c r="C2184" s="398" t="s">
        <v>1976</v>
      </c>
      <c r="D2184" s="399" t="s">
        <v>1830</v>
      </c>
      <c r="E2184" s="385" t="s">
        <v>2714</v>
      </c>
      <c r="F2184" s="385" t="s">
        <v>2169</v>
      </c>
      <c r="G2184" s="385"/>
      <c r="H2184" s="385" t="s">
        <v>2715</v>
      </c>
      <c r="I2184" s="385" t="s">
        <v>189</v>
      </c>
      <c r="J2184" s="489" t="s">
        <v>366</v>
      </c>
      <c r="K2184" s="450"/>
      <c r="L2184" s="450"/>
      <c r="M2184" s="490" t="s">
        <v>37</v>
      </c>
      <c r="N2184" s="490">
        <v>3</v>
      </c>
    </row>
    <row r="2185" spans="1:14" s="394" customFormat="1" ht="98.25" customHeight="1" outlineLevel="1" collapsed="1">
      <c r="A2185" s="489" t="s">
        <v>1763</v>
      </c>
      <c r="B2185" s="385" t="s">
        <v>288</v>
      </c>
      <c r="C2185" s="398" t="s">
        <v>1976</v>
      </c>
      <c r="D2185" s="399" t="s">
        <v>1830</v>
      </c>
      <c r="E2185" s="385"/>
      <c r="F2185" s="385" t="s">
        <v>2169</v>
      </c>
      <c r="G2185" s="385"/>
      <c r="H2185" s="401" t="s">
        <v>2716</v>
      </c>
      <c r="I2185" s="385" t="str">
        <f>CONCATENATE(I2186," ","(",H2186,")","-",N2186," ",M2186," ",I2187,"  ","(",H2187,")","-",N2187," ",M2187," ",)</f>
        <v xml:space="preserve">Ремонт разъединителей 35 кВ (РЛНЗ-35, SOHK-35 ЛР 35 Т11Ф, ЛР 35 Т5Ф, ЛР 35 Т6Ф, ШР 35 Т11Ф, ШР 35 Т5Ф, ШР 35 Т6Ф, РРП 35, СР 35 1с, СР 35 2с, ШР 35 ТН 1с, ШР 35 ТН 2с, ШР 35 1Т, ШР 35 2Т)-13 шт. Ремонт трансформаторов СН  (ТМ-100/10 2ТСН 10)-1 шт. </v>
      </c>
      <c r="J2185" s="489"/>
      <c r="K2185" s="450">
        <v>44409</v>
      </c>
      <c r="L2185" s="450">
        <v>44439</v>
      </c>
      <c r="M2185" s="490"/>
      <c r="N2185" s="490"/>
    </row>
    <row r="2186" spans="1:14" ht="263.25" hidden="1" outlineLevel="2">
      <c r="A2186" s="438"/>
      <c r="B2186" s="385" t="s">
        <v>300</v>
      </c>
      <c r="C2186" s="398" t="s">
        <v>1976</v>
      </c>
      <c r="D2186" s="399" t="s">
        <v>1830</v>
      </c>
      <c r="E2186" s="385" t="s">
        <v>2717</v>
      </c>
      <c r="F2186" s="385" t="s">
        <v>2169</v>
      </c>
      <c r="G2186" s="385"/>
      <c r="H2186" s="385" t="s">
        <v>2718</v>
      </c>
      <c r="I2186" s="385" t="s">
        <v>201</v>
      </c>
      <c r="J2186" s="489" t="s">
        <v>365</v>
      </c>
      <c r="K2186" s="450"/>
      <c r="L2186" s="450"/>
      <c r="M2186" s="490" t="s">
        <v>37</v>
      </c>
      <c r="N2186" s="490">
        <v>13</v>
      </c>
    </row>
    <row r="2187" spans="1:14" hidden="1" outlineLevel="2">
      <c r="A2187" s="438"/>
      <c r="B2187" s="385" t="s">
        <v>288</v>
      </c>
      <c r="C2187" s="398" t="s">
        <v>1976</v>
      </c>
      <c r="D2187" s="399" t="s">
        <v>1830</v>
      </c>
      <c r="E2187" s="385" t="s">
        <v>2719</v>
      </c>
      <c r="F2187" s="385" t="s">
        <v>2169</v>
      </c>
      <c r="G2187" s="385"/>
      <c r="H2187" s="385" t="s">
        <v>2720</v>
      </c>
      <c r="I2187" s="385" t="s">
        <v>163</v>
      </c>
      <c r="J2187" s="489" t="s">
        <v>366</v>
      </c>
      <c r="K2187" s="450"/>
      <c r="L2187" s="450"/>
      <c r="M2187" s="490" t="s">
        <v>37</v>
      </c>
      <c r="N2187" s="490">
        <v>1</v>
      </c>
    </row>
    <row r="2188" spans="1:14" s="394" customFormat="1" ht="56.25" customHeight="1" outlineLevel="1" collapsed="1">
      <c r="A2188" s="489" t="s">
        <v>1764</v>
      </c>
      <c r="B2188" s="385" t="s">
        <v>300</v>
      </c>
      <c r="C2188" s="398" t="s">
        <v>2168</v>
      </c>
      <c r="D2188" s="399" t="s">
        <v>1830</v>
      </c>
      <c r="E2188" s="385"/>
      <c r="F2188" s="385" t="s">
        <v>2169</v>
      </c>
      <c r="G2188" s="385"/>
      <c r="H2188" s="401" t="s">
        <v>2721</v>
      </c>
      <c r="I2188" s="385" t="str">
        <f>CONCATENATE(I2189," ","(",H2189,")","-",N2189," ",M2189," ")</f>
        <v xml:space="preserve">Ремонт трансформаторов СН (ТМ-100/10 1ТСН 10, 2ТСН 10 )-2 шт. </v>
      </c>
      <c r="J2188" s="489"/>
      <c r="K2188" s="450">
        <v>44317</v>
      </c>
      <c r="L2188" s="450">
        <v>44347</v>
      </c>
      <c r="M2188" s="490"/>
      <c r="N2188" s="490"/>
    </row>
    <row r="2189" spans="1:14" ht="40.5" hidden="1" outlineLevel="2">
      <c r="A2189" s="438"/>
      <c r="B2189" s="385" t="s">
        <v>298</v>
      </c>
      <c r="C2189" s="398" t="s">
        <v>2168</v>
      </c>
      <c r="D2189" s="399" t="s">
        <v>1830</v>
      </c>
      <c r="E2189" s="385" t="s">
        <v>2722</v>
      </c>
      <c r="F2189" s="385" t="s">
        <v>2169</v>
      </c>
      <c r="G2189" s="385"/>
      <c r="H2189" s="385" t="s">
        <v>2723</v>
      </c>
      <c r="I2189" s="385" t="s">
        <v>163</v>
      </c>
      <c r="J2189" s="489" t="s">
        <v>366</v>
      </c>
      <c r="K2189" s="450"/>
      <c r="L2189" s="450"/>
      <c r="M2189" s="490" t="s">
        <v>37</v>
      </c>
      <c r="N2189" s="490">
        <v>2</v>
      </c>
    </row>
    <row r="2190" spans="1:14" s="394" customFormat="1" ht="75.75" customHeight="1" outlineLevel="1" collapsed="1">
      <c r="A2190" s="489" t="s">
        <v>1370</v>
      </c>
      <c r="B2190" s="385" t="s">
        <v>288</v>
      </c>
      <c r="C2190" s="398" t="s">
        <v>1989</v>
      </c>
      <c r="D2190" s="399" t="s">
        <v>1830</v>
      </c>
      <c r="E2190" s="385"/>
      <c r="F2190" s="385" t="s">
        <v>2169</v>
      </c>
      <c r="G2190" s="385"/>
      <c r="H2190" s="401" t="s">
        <v>2724</v>
      </c>
      <c r="I2190" s="385" t="str">
        <f>CONCATENATE(I2191," ","(",H2191,")","-",N2191," ",M2191," ",I2192,"  ","(",H2192,")","-",N2192," ",M2192," ",)</f>
        <v xml:space="preserve">Ремонт трансформаторов СН ( ТМ-63/6 1ТСН 6, 2ТСН 6)-2 шт. Ремонт выключателей 6-10 кВ  (ВМПП-10  В 6 1Т, В 6 2Т, В 6 яч 28, В 6 яч 31, В 6 яч 3, В 6 яч 7, В 6 яч 34, В 6 яч 13)-8 шт. </v>
      </c>
      <c r="J2190" s="489"/>
      <c r="K2190" s="450">
        <v>44287</v>
      </c>
      <c r="L2190" s="450">
        <v>44316</v>
      </c>
      <c r="M2190" s="490"/>
      <c r="N2190" s="490"/>
    </row>
    <row r="2191" spans="1:14" hidden="1" outlineLevel="2">
      <c r="A2191" s="438"/>
      <c r="B2191" s="385" t="s">
        <v>298</v>
      </c>
      <c r="C2191" s="398" t="s">
        <v>1989</v>
      </c>
      <c r="D2191" s="399" t="s">
        <v>1830</v>
      </c>
      <c r="E2191" s="385" t="s">
        <v>2725</v>
      </c>
      <c r="F2191" s="385" t="s">
        <v>2169</v>
      </c>
      <c r="G2191" s="385"/>
      <c r="H2191" s="385" t="s">
        <v>2726</v>
      </c>
      <c r="I2191" s="385" t="s">
        <v>163</v>
      </c>
      <c r="J2191" s="489" t="s">
        <v>366</v>
      </c>
      <c r="K2191" s="450"/>
      <c r="L2191" s="450"/>
      <c r="M2191" s="490" t="s">
        <v>37</v>
      </c>
      <c r="N2191" s="490">
        <v>2</v>
      </c>
    </row>
    <row r="2192" spans="1:14" ht="60.75" hidden="1" outlineLevel="2">
      <c r="A2192" s="438"/>
      <c r="B2192" s="385" t="s">
        <v>298</v>
      </c>
      <c r="C2192" s="398" t="s">
        <v>1989</v>
      </c>
      <c r="D2192" s="399" t="s">
        <v>1830</v>
      </c>
      <c r="E2192" s="385" t="s">
        <v>2727</v>
      </c>
      <c r="F2192" s="385" t="s">
        <v>2169</v>
      </c>
      <c r="G2192" s="385"/>
      <c r="H2192" s="385" t="s">
        <v>2728</v>
      </c>
      <c r="I2192" s="385" t="s">
        <v>191</v>
      </c>
      <c r="J2192" s="489" t="s">
        <v>366</v>
      </c>
      <c r="K2192" s="450"/>
      <c r="L2192" s="450"/>
      <c r="M2192" s="490" t="s">
        <v>37</v>
      </c>
      <c r="N2192" s="490">
        <v>8</v>
      </c>
    </row>
    <row r="2193" spans="1:130" s="394" customFormat="1" ht="124.5" customHeight="1" outlineLevel="1" collapsed="1">
      <c r="A2193" s="489" t="s">
        <v>1371</v>
      </c>
      <c r="B2193" s="385" t="s">
        <v>288</v>
      </c>
      <c r="C2193" s="398" t="s">
        <v>1989</v>
      </c>
      <c r="D2193" s="399" t="s">
        <v>1830</v>
      </c>
      <c r="E2193" s="385"/>
      <c r="F2193" s="385" t="s">
        <v>2169</v>
      </c>
      <c r="G2193" s="385"/>
      <c r="H2193" s="401" t="s">
        <v>2729</v>
      </c>
      <c r="I2193" s="385" t="str">
        <f>CONCATENATE(I2194," ","(",H2194,")","-",N2194," ",M2194," ",I2195,"  ","(",H2195,")","-",N2195," ",M2195," ",I2196,"  ","(",H2196,")","-",N2196," ",M2196," ",)</f>
        <v xml:space="preserve">Ремонт выключателей 35 кВ (С-35 В 35 Т-305, В 35 Т-306, В 35 2Т)-3 шт. Ремонт выключателей 6-10 кВ  (ВМПП-10, ВВТЭ-10, ВКЭ-10 В 6 1Т, В 6 2Т, СВ 6, В 6 яч 67, В 6 яч 64, В 6 яч 74 , В 6 яч 66 , В 6 яч 72, В 6 яч 78, В 6 яч 80)-10 шт. Ремонт трансформаторов напряжения 6-10 кВ  (ЗНОЛ.06-6 ТН 6 1с, 1ТН 6 2с)-6 шт. </v>
      </c>
      <c r="J2193" s="489"/>
      <c r="K2193" s="450">
        <v>44409</v>
      </c>
      <c r="L2193" s="450">
        <v>44530</v>
      </c>
      <c r="M2193" s="490"/>
      <c r="N2193" s="490"/>
    </row>
    <row r="2194" spans="1:130" hidden="1" outlineLevel="2">
      <c r="A2194" s="438"/>
      <c r="B2194" s="385" t="s">
        <v>300</v>
      </c>
      <c r="C2194" s="398" t="s">
        <v>1989</v>
      </c>
      <c r="D2194" s="399" t="s">
        <v>1830</v>
      </c>
      <c r="E2194" s="385" t="s">
        <v>2730</v>
      </c>
      <c r="F2194" s="385" t="s">
        <v>2169</v>
      </c>
      <c r="G2194" s="385"/>
      <c r="H2194" s="385" t="s">
        <v>2731</v>
      </c>
      <c r="I2194" s="385" t="s">
        <v>189</v>
      </c>
      <c r="J2194" s="489" t="s">
        <v>366</v>
      </c>
      <c r="K2194" s="450"/>
      <c r="L2194" s="450"/>
      <c r="M2194" s="490" t="s">
        <v>37</v>
      </c>
      <c r="N2194" s="490">
        <v>3</v>
      </c>
    </row>
    <row r="2195" spans="1:130" ht="60.75" hidden="1" outlineLevel="2">
      <c r="A2195" s="438"/>
      <c r="B2195" s="385" t="s">
        <v>298</v>
      </c>
      <c r="C2195" s="398" t="s">
        <v>1989</v>
      </c>
      <c r="D2195" s="399" t="s">
        <v>1830</v>
      </c>
      <c r="E2195" s="385" t="s">
        <v>2732</v>
      </c>
      <c r="F2195" s="385" t="s">
        <v>2169</v>
      </c>
      <c r="G2195" s="385"/>
      <c r="H2195" s="385" t="s">
        <v>2733</v>
      </c>
      <c r="I2195" s="385" t="s">
        <v>191</v>
      </c>
      <c r="J2195" s="489" t="s">
        <v>366</v>
      </c>
      <c r="K2195" s="450"/>
      <c r="L2195" s="450"/>
      <c r="M2195" s="490" t="s">
        <v>37</v>
      </c>
      <c r="N2195" s="490">
        <v>10</v>
      </c>
    </row>
    <row r="2196" spans="1:130" hidden="1" outlineLevel="2">
      <c r="A2196" s="438"/>
      <c r="B2196" s="385" t="s">
        <v>298</v>
      </c>
      <c r="C2196" s="398" t="s">
        <v>1989</v>
      </c>
      <c r="D2196" s="399" t="s">
        <v>1830</v>
      </c>
      <c r="E2196" s="385" t="s">
        <v>2732</v>
      </c>
      <c r="F2196" s="385" t="s">
        <v>2169</v>
      </c>
      <c r="G2196" s="385"/>
      <c r="H2196" s="385" t="s">
        <v>2734</v>
      </c>
      <c r="I2196" s="385" t="s">
        <v>234</v>
      </c>
      <c r="J2196" s="489" t="s">
        <v>366</v>
      </c>
      <c r="K2196" s="450"/>
      <c r="L2196" s="450"/>
      <c r="M2196" s="490" t="s">
        <v>37</v>
      </c>
      <c r="N2196" s="490">
        <v>6</v>
      </c>
    </row>
    <row r="2197" spans="1:130" s="394" customFormat="1" ht="40.5" outlineLevel="1" collapsed="1">
      <c r="A2197" s="489" t="s">
        <v>1372</v>
      </c>
      <c r="B2197" s="385" t="s">
        <v>288</v>
      </c>
      <c r="C2197" s="398" t="s">
        <v>1989</v>
      </c>
      <c r="D2197" s="399" t="s">
        <v>1830</v>
      </c>
      <c r="E2197" s="385"/>
      <c r="F2197" s="385" t="s">
        <v>2169</v>
      </c>
      <c r="G2197" s="385"/>
      <c r="H2197" s="401" t="s">
        <v>2735</v>
      </c>
      <c r="I2197" s="385" t="str">
        <f>CONCATENATE(I2198," ","(",H2198,")","-",N2198," ",M2198," ",)</f>
        <v xml:space="preserve">Ремонт трансформаторов 35 кВ (ТМШ-2500/10 3Т, 4Т)-2 шт. </v>
      </c>
      <c r="J2197" s="489"/>
      <c r="K2197" s="450">
        <v>44440</v>
      </c>
      <c r="L2197" s="450">
        <v>44469</v>
      </c>
      <c r="M2197" s="490"/>
      <c r="N2197" s="490"/>
    </row>
    <row r="2198" spans="1:130" hidden="1" outlineLevel="2">
      <c r="A2198" s="438"/>
      <c r="B2198" s="385" t="s">
        <v>300</v>
      </c>
      <c r="C2198" s="398" t="s">
        <v>1989</v>
      </c>
      <c r="D2198" s="399" t="s">
        <v>1830</v>
      </c>
      <c r="E2198" s="385" t="s">
        <v>2736</v>
      </c>
      <c r="F2198" s="385" t="s">
        <v>2169</v>
      </c>
      <c r="G2198" s="385"/>
      <c r="H2198" s="385" t="s">
        <v>2737</v>
      </c>
      <c r="I2198" s="385" t="s">
        <v>160</v>
      </c>
      <c r="J2198" s="489" t="s">
        <v>366</v>
      </c>
      <c r="K2198" s="450"/>
      <c r="L2198" s="450"/>
      <c r="M2198" s="490" t="s">
        <v>37</v>
      </c>
      <c r="N2198" s="490">
        <v>2</v>
      </c>
    </row>
    <row r="2199" spans="1:130" s="394" customFormat="1" ht="81" outlineLevel="1" collapsed="1">
      <c r="A2199" s="489" t="s">
        <v>1373</v>
      </c>
      <c r="B2199" s="385" t="s">
        <v>288</v>
      </c>
      <c r="C2199" s="399" t="s">
        <v>2126</v>
      </c>
      <c r="D2199" s="399" t="s">
        <v>1830</v>
      </c>
      <c r="E2199" s="385"/>
      <c r="F2199" s="385" t="s">
        <v>2538</v>
      </c>
      <c r="G2199" s="385"/>
      <c r="H2199" s="401" t="s">
        <v>2738</v>
      </c>
      <c r="I2199" s="385" t="str">
        <f>CONCATENATE(I2200," ","(",H2200,")","-",N2200," ",M2200," ",I2201,"  ","(",H2201,")","-",N2201," ",M2201," ",I2202,"  ","(",H2202,")","-",N2202," ",M2202," ",)</f>
        <v xml:space="preserve">Замена трансформаторов напряжения 6-10 кВ. (НТМИ-6 на НАМИ-10-95 ТН 6 1с, ТН 6 2с)-2 шт. Ремонт трансформаторов 35 кВ  (ТДНС-10000/35 2Т)-1 шт. Ремонт выключателей 6-10 кВ  (ВМП-10 В 10 1Т)-1 шт. </v>
      </c>
      <c r="J2199" s="489"/>
      <c r="K2199" s="450">
        <v>44409</v>
      </c>
      <c r="L2199" s="450">
        <v>44439</v>
      </c>
      <c r="M2199" s="490"/>
      <c r="N2199" s="490"/>
    </row>
    <row r="2200" spans="1:130" ht="60.75" hidden="1" outlineLevel="2">
      <c r="A2200" s="438"/>
      <c r="B2200" s="385" t="s">
        <v>298</v>
      </c>
      <c r="C2200" s="399" t="s">
        <v>2126</v>
      </c>
      <c r="D2200" s="399" t="s">
        <v>1830</v>
      </c>
      <c r="E2200" s="385" t="s">
        <v>2739</v>
      </c>
      <c r="F2200" s="385" t="s">
        <v>2161</v>
      </c>
      <c r="G2200" s="385" t="s">
        <v>2499</v>
      </c>
      <c r="H2200" s="385" t="s">
        <v>2740</v>
      </c>
      <c r="I2200" s="385" t="s">
        <v>224</v>
      </c>
      <c r="J2200" s="529" t="s">
        <v>365</v>
      </c>
      <c r="K2200" s="474"/>
      <c r="L2200" s="474"/>
      <c r="M2200" s="530" t="s">
        <v>37</v>
      </c>
      <c r="N2200" s="530">
        <v>2</v>
      </c>
    </row>
    <row r="2201" spans="1:130" hidden="1" outlineLevel="2">
      <c r="A2201" s="438"/>
      <c r="B2201" s="385" t="s">
        <v>300</v>
      </c>
      <c r="C2201" s="399" t="s">
        <v>2126</v>
      </c>
      <c r="D2201" s="399" t="s">
        <v>1830</v>
      </c>
      <c r="E2201" s="385" t="s">
        <v>2741</v>
      </c>
      <c r="F2201" s="385" t="s">
        <v>2169</v>
      </c>
      <c r="G2201" s="385"/>
      <c r="H2201" s="385" t="s">
        <v>2742</v>
      </c>
      <c r="I2201" s="385" t="s">
        <v>160</v>
      </c>
      <c r="J2201" s="489" t="s">
        <v>366</v>
      </c>
      <c r="K2201" s="450"/>
      <c r="L2201" s="450"/>
      <c r="M2201" s="490" t="s">
        <v>37</v>
      </c>
      <c r="N2201" s="490">
        <v>1</v>
      </c>
    </row>
    <row r="2202" spans="1:130" hidden="1" outlineLevel="2">
      <c r="A2202" s="438"/>
      <c r="B2202" s="385" t="s">
        <v>298</v>
      </c>
      <c r="C2202" s="399" t="s">
        <v>2126</v>
      </c>
      <c r="D2202" s="399" t="s">
        <v>1830</v>
      </c>
      <c r="E2202" s="385" t="s">
        <v>2743</v>
      </c>
      <c r="F2202" s="385" t="s">
        <v>2169</v>
      </c>
      <c r="G2202" s="385"/>
      <c r="H2202" s="385" t="s">
        <v>2744</v>
      </c>
      <c r="I2202" s="385" t="s">
        <v>191</v>
      </c>
      <c r="J2202" s="489" t="s">
        <v>366</v>
      </c>
      <c r="K2202" s="450"/>
      <c r="L2202" s="450"/>
      <c r="M2202" s="490" t="s">
        <v>37</v>
      </c>
      <c r="N2202" s="490">
        <v>1</v>
      </c>
    </row>
    <row r="2203" spans="1:130" s="394" customFormat="1" ht="60.75" outlineLevel="1" collapsed="1">
      <c r="A2203" s="489" t="s">
        <v>1374</v>
      </c>
      <c r="B2203" s="385" t="s">
        <v>300</v>
      </c>
      <c r="C2203" s="399" t="s">
        <v>2126</v>
      </c>
      <c r="D2203" s="399" t="s">
        <v>1830</v>
      </c>
      <c r="E2203" s="385"/>
      <c r="F2203" s="385" t="s">
        <v>2169</v>
      </c>
      <c r="G2203" s="385"/>
      <c r="H2203" s="401" t="s">
        <v>2745</v>
      </c>
      <c r="I2203" s="385" t="str">
        <f>CONCATENATE(I2204," ","(",H2204,")","-",N2204," ",M2204," ",I2205,"  ","(",H2205,")","-",N2205," ",M2205," ",)</f>
        <v xml:space="preserve">Ремонт трансформаторов 35 кВ (ТМН-2500/35 1Т, 2Т)-2 шт. Ремонт выключателей 6-10 кВ  (ВМГ-133 В 10 яч 9)-1 шт. </v>
      </c>
      <c r="J2203" s="489"/>
      <c r="K2203" s="450">
        <v>44287</v>
      </c>
      <c r="L2203" s="450">
        <v>44469</v>
      </c>
      <c r="M2203" s="490"/>
      <c r="N2203" s="490"/>
    </row>
    <row r="2204" spans="1:130" ht="40.5" hidden="1" outlineLevel="2">
      <c r="A2204" s="438"/>
      <c r="B2204" s="385" t="s">
        <v>300</v>
      </c>
      <c r="C2204" s="399" t="s">
        <v>2126</v>
      </c>
      <c r="D2204" s="399" t="s">
        <v>1830</v>
      </c>
      <c r="E2204" s="385" t="s">
        <v>2746</v>
      </c>
      <c r="F2204" s="385" t="s">
        <v>2169</v>
      </c>
      <c r="G2204" s="385"/>
      <c r="H2204" s="385" t="s">
        <v>2747</v>
      </c>
      <c r="I2204" s="385" t="s">
        <v>160</v>
      </c>
      <c r="J2204" s="489" t="s">
        <v>366</v>
      </c>
      <c r="K2204" s="450"/>
      <c r="L2204" s="450"/>
      <c r="M2204" s="490" t="s">
        <v>37</v>
      </c>
      <c r="N2204" s="490">
        <v>2</v>
      </c>
    </row>
    <row r="2205" spans="1:130" hidden="1" outlineLevel="2">
      <c r="A2205" s="438"/>
      <c r="B2205" s="385" t="s">
        <v>298</v>
      </c>
      <c r="C2205" s="399" t="s">
        <v>2126</v>
      </c>
      <c r="D2205" s="399" t="s">
        <v>1830</v>
      </c>
      <c r="E2205" s="385" t="s">
        <v>2748</v>
      </c>
      <c r="F2205" s="385" t="s">
        <v>2169</v>
      </c>
      <c r="G2205" s="385"/>
      <c r="H2205" s="385" t="s">
        <v>2749</v>
      </c>
      <c r="I2205" s="385" t="s">
        <v>191</v>
      </c>
      <c r="J2205" s="489" t="s">
        <v>366</v>
      </c>
      <c r="K2205" s="450"/>
      <c r="L2205" s="450"/>
      <c r="M2205" s="490" t="s">
        <v>37</v>
      </c>
      <c r="N2205" s="490">
        <v>1</v>
      </c>
    </row>
    <row r="2206" spans="1:130" s="405" customFormat="1" ht="121.5" hidden="1" outlineLevel="2" collapsed="1">
      <c r="A2206" s="489" t="s">
        <v>1375</v>
      </c>
      <c r="B2206" s="385" t="s">
        <v>300</v>
      </c>
      <c r="C2206" s="399" t="s">
        <v>2126</v>
      </c>
      <c r="D2206" s="399" t="s">
        <v>1830</v>
      </c>
      <c r="E2206" s="385"/>
      <c r="F2206" s="385" t="s">
        <v>2538</v>
      </c>
      <c r="G2206" s="385"/>
      <c r="H2206" s="401" t="s">
        <v>2750</v>
      </c>
      <c r="I2206" s="385" t="str">
        <f>CONCATENATE(I2207," ","(",H2207,")","-",N2207," ",M2207," ",I2208,"  ","(",H2208,")","-",N2208," ",M2208," ",I2209," ","(",H2209,")","-",N2209," ",M2209," ",I2210," ","(",H2210,")","-",N2210," ",M2210," ")</f>
        <v xml:space="preserve">Замена трансформаторов напряжения 6-10 кВ. (НТМИ-10 на НАМИ-10-95 ТН 10 1с)-1 шт. Ремонт трансформаторов 35 кВ  (ТМ-4000/35 2Т)-1 шт. Ремонт выключателей 35 кВ (ВТ-35, С-35  В 35 1Т, В 35 2Т )-2 шт. Ремонт трансформаторов СН (ТМ-25/10, ТМ-40/10 1ТСН 10, 2ТСН 10 )-2 шт. </v>
      </c>
      <c r="J2206" s="489"/>
      <c r="K2206" s="450">
        <v>44409</v>
      </c>
      <c r="L2206" s="450">
        <v>44530</v>
      </c>
      <c r="M2206" s="490"/>
      <c r="N2206" s="490"/>
      <c r="O2206" s="493"/>
      <c r="P2206" s="493"/>
      <c r="Q2206" s="493"/>
      <c r="R2206" s="493"/>
      <c r="S2206" s="493"/>
      <c r="T2206" s="493"/>
      <c r="U2206" s="493"/>
      <c r="V2206" s="493"/>
      <c r="W2206" s="493"/>
      <c r="X2206" s="493"/>
      <c r="Y2206" s="493"/>
      <c r="Z2206" s="493"/>
      <c r="AA2206" s="493"/>
      <c r="AB2206" s="493"/>
      <c r="AC2206" s="493"/>
      <c r="AD2206" s="493"/>
      <c r="AE2206" s="493"/>
      <c r="AF2206" s="493"/>
      <c r="AG2206" s="493"/>
      <c r="AH2206" s="493"/>
      <c r="AI2206" s="493"/>
      <c r="AJ2206" s="493"/>
      <c r="AK2206" s="493"/>
      <c r="AL2206" s="493"/>
      <c r="AM2206" s="493"/>
      <c r="AN2206" s="493"/>
      <c r="AO2206" s="493"/>
      <c r="AP2206" s="493"/>
      <c r="AQ2206" s="493"/>
      <c r="AR2206" s="493"/>
      <c r="AS2206" s="493"/>
      <c r="AT2206" s="493"/>
      <c r="AU2206" s="493"/>
      <c r="AV2206" s="493"/>
      <c r="AW2206" s="493"/>
      <c r="AX2206" s="493"/>
      <c r="AY2206" s="493"/>
      <c r="AZ2206" s="493"/>
      <c r="BA2206" s="493"/>
      <c r="BB2206" s="493"/>
      <c r="BC2206" s="493"/>
      <c r="BD2206" s="493"/>
      <c r="BE2206" s="493"/>
      <c r="BF2206" s="493"/>
      <c r="BG2206" s="493"/>
      <c r="BH2206" s="493"/>
      <c r="BI2206" s="493"/>
      <c r="BJ2206" s="493"/>
      <c r="BK2206" s="493"/>
      <c r="BL2206" s="493"/>
      <c r="BM2206" s="493"/>
      <c r="BN2206" s="493"/>
      <c r="BO2206" s="493"/>
      <c r="BP2206" s="493"/>
      <c r="BQ2206" s="493"/>
      <c r="BR2206" s="493"/>
      <c r="BS2206" s="493"/>
      <c r="BT2206" s="493"/>
      <c r="BU2206" s="493"/>
      <c r="BV2206" s="493"/>
      <c r="BW2206" s="493"/>
      <c r="BX2206" s="493"/>
      <c r="BY2206" s="493"/>
      <c r="BZ2206" s="493"/>
      <c r="CA2206" s="493"/>
      <c r="CB2206" s="493"/>
      <c r="CC2206" s="493"/>
      <c r="CD2206" s="493"/>
      <c r="CE2206" s="493"/>
      <c r="CF2206" s="493"/>
      <c r="CG2206" s="493"/>
      <c r="CH2206" s="493"/>
      <c r="CI2206" s="493"/>
      <c r="CJ2206" s="493"/>
      <c r="CK2206" s="493"/>
      <c r="CL2206" s="493"/>
      <c r="CM2206" s="493"/>
      <c r="CN2206" s="493"/>
      <c r="CO2206" s="493"/>
      <c r="CP2206" s="493"/>
      <c r="CQ2206" s="493"/>
      <c r="CR2206" s="493"/>
      <c r="CS2206" s="493"/>
      <c r="CT2206" s="493"/>
      <c r="CU2206" s="493"/>
      <c r="CV2206" s="493"/>
      <c r="CW2206" s="493"/>
      <c r="CX2206" s="493"/>
      <c r="CY2206" s="493"/>
      <c r="CZ2206" s="493"/>
      <c r="DA2206" s="493"/>
      <c r="DB2206" s="493"/>
      <c r="DC2206" s="493"/>
      <c r="DD2206" s="493"/>
      <c r="DE2206" s="493"/>
      <c r="DF2206" s="493"/>
      <c r="DG2206" s="493"/>
      <c r="DH2206" s="493"/>
      <c r="DI2206" s="493"/>
      <c r="DJ2206" s="493"/>
      <c r="DK2206" s="493"/>
      <c r="DL2206" s="493"/>
      <c r="DM2206" s="493"/>
      <c r="DN2206" s="493"/>
      <c r="DO2206" s="493"/>
      <c r="DP2206" s="493"/>
      <c r="DQ2206" s="493"/>
      <c r="DR2206" s="493"/>
      <c r="DS2206" s="493"/>
      <c r="DT2206" s="493"/>
      <c r="DU2206" s="493"/>
      <c r="DV2206" s="493"/>
      <c r="DW2206" s="493"/>
      <c r="DX2206" s="493"/>
      <c r="DY2206" s="493"/>
      <c r="DZ2206" s="493"/>
    </row>
    <row r="2207" spans="1:130" ht="60.75" hidden="1" outlineLevel="3">
      <c r="A2207" s="438"/>
      <c r="B2207" s="385" t="s">
        <v>298</v>
      </c>
      <c r="C2207" s="385" t="s">
        <v>2126</v>
      </c>
      <c r="D2207" s="399" t="s">
        <v>1830</v>
      </c>
      <c r="E2207" s="385" t="s">
        <v>2751</v>
      </c>
      <c r="F2207" s="385" t="s">
        <v>2161</v>
      </c>
      <c r="G2207" s="459" t="s">
        <v>2499</v>
      </c>
      <c r="H2207" s="385" t="s">
        <v>2752</v>
      </c>
      <c r="I2207" s="385" t="s">
        <v>224</v>
      </c>
      <c r="J2207" s="489" t="s">
        <v>365</v>
      </c>
      <c r="K2207" s="489"/>
      <c r="L2207" s="489"/>
      <c r="M2207" s="490" t="s">
        <v>37</v>
      </c>
      <c r="N2207" s="490">
        <v>1</v>
      </c>
    </row>
    <row r="2208" spans="1:130" s="397" customFormat="1" hidden="1" outlineLevel="3">
      <c r="A2208" s="438"/>
      <c r="B2208" s="385" t="s">
        <v>300</v>
      </c>
      <c r="C2208" s="399" t="s">
        <v>2126</v>
      </c>
      <c r="D2208" s="399" t="s">
        <v>1830</v>
      </c>
      <c r="E2208" s="385" t="s">
        <v>2753</v>
      </c>
      <c r="F2208" s="385" t="s">
        <v>2169</v>
      </c>
      <c r="G2208" s="385"/>
      <c r="H2208" s="385" t="s">
        <v>2754</v>
      </c>
      <c r="I2208" s="385" t="s">
        <v>160</v>
      </c>
      <c r="J2208" s="489" t="s">
        <v>366</v>
      </c>
      <c r="K2208" s="489"/>
      <c r="L2208" s="489"/>
      <c r="M2208" s="490" t="s">
        <v>37</v>
      </c>
      <c r="N2208" s="490">
        <v>1</v>
      </c>
    </row>
    <row r="2209" spans="1:14" s="480" customFormat="1" ht="40.5" hidden="1" outlineLevel="3">
      <c r="A2209" s="438"/>
      <c r="B2209" s="385" t="s">
        <v>300</v>
      </c>
      <c r="C2209" s="399" t="s">
        <v>2126</v>
      </c>
      <c r="D2209" s="399" t="s">
        <v>1830</v>
      </c>
      <c r="E2209" s="385" t="s">
        <v>3583</v>
      </c>
      <c r="F2209" s="385" t="s">
        <v>2169</v>
      </c>
      <c r="G2209" s="385"/>
      <c r="H2209" s="385" t="s">
        <v>3584</v>
      </c>
      <c r="I2209" s="385" t="s">
        <v>189</v>
      </c>
      <c r="J2209" s="489" t="s">
        <v>366</v>
      </c>
      <c r="K2209" s="489"/>
      <c r="L2209" s="489"/>
      <c r="M2209" s="490" t="s">
        <v>37</v>
      </c>
      <c r="N2209" s="490">
        <v>2</v>
      </c>
    </row>
    <row r="2210" spans="1:14" s="397" customFormat="1" ht="40.5" hidden="1" outlineLevel="3">
      <c r="A2210" s="438"/>
      <c r="B2210" s="385" t="s">
        <v>298</v>
      </c>
      <c r="C2210" s="399" t="s">
        <v>2126</v>
      </c>
      <c r="D2210" s="399" t="s">
        <v>1830</v>
      </c>
      <c r="E2210" s="385" t="s">
        <v>2755</v>
      </c>
      <c r="F2210" s="385" t="s">
        <v>2169</v>
      </c>
      <c r="G2210" s="385"/>
      <c r="H2210" s="385" t="s">
        <v>2756</v>
      </c>
      <c r="I2210" s="385" t="s">
        <v>163</v>
      </c>
      <c r="J2210" s="489" t="s">
        <v>366</v>
      </c>
      <c r="K2210" s="489"/>
      <c r="L2210" s="489"/>
      <c r="M2210" s="490" t="s">
        <v>37</v>
      </c>
      <c r="N2210" s="490">
        <v>2</v>
      </c>
    </row>
    <row r="2211" spans="1:14" s="394" customFormat="1" ht="40.5" outlineLevel="1" collapsed="1">
      <c r="A2211" s="489" t="s">
        <v>1376</v>
      </c>
      <c r="B2211" s="385" t="s">
        <v>300</v>
      </c>
      <c r="C2211" s="399" t="s">
        <v>2607</v>
      </c>
      <c r="D2211" s="399" t="s">
        <v>1830</v>
      </c>
      <c r="E2211" s="385"/>
      <c r="F2211" s="385" t="s">
        <v>2161</v>
      </c>
      <c r="G2211" s="385"/>
      <c r="H2211" s="401" t="s">
        <v>2662</v>
      </c>
      <c r="I2211" s="385" t="str">
        <f>CONCATENATE(I2212," ","(",H2212,")","-",N2212," ",M2212," ")</f>
        <v xml:space="preserve">Замена трансформаторов напряжения 6-10 кВ. (НТМИ-6 на НАМИ-10-95 ТН 6 2с)-1 шт. </v>
      </c>
      <c r="J2211" s="489"/>
      <c r="K2211" s="450">
        <v>44440</v>
      </c>
      <c r="L2211" s="450">
        <v>44469</v>
      </c>
      <c r="M2211" s="490"/>
      <c r="N2211" s="490"/>
    </row>
    <row r="2212" spans="1:14" ht="60.75" hidden="1" outlineLevel="2">
      <c r="A2212" s="438"/>
      <c r="B2212" s="385" t="s">
        <v>300</v>
      </c>
      <c r="C2212" s="399" t="s">
        <v>2607</v>
      </c>
      <c r="D2212" s="399" t="s">
        <v>1830</v>
      </c>
      <c r="E2212" s="385" t="s">
        <v>2757</v>
      </c>
      <c r="F2212" s="385" t="s">
        <v>2161</v>
      </c>
      <c r="G2212" s="459" t="s">
        <v>2499</v>
      </c>
      <c r="H2212" s="459" t="s">
        <v>2758</v>
      </c>
      <c r="I2212" s="459" t="s">
        <v>224</v>
      </c>
      <c r="J2212" s="529" t="s">
        <v>365</v>
      </c>
      <c r="K2212" s="474"/>
      <c r="L2212" s="474"/>
      <c r="M2212" s="530" t="s">
        <v>37</v>
      </c>
      <c r="N2212" s="530">
        <v>1</v>
      </c>
    </row>
    <row r="2213" spans="1:14" s="394" customFormat="1" ht="40.5" outlineLevel="1" collapsed="1">
      <c r="A2213" s="489" t="s">
        <v>1377</v>
      </c>
      <c r="B2213" s="385" t="s">
        <v>300</v>
      </c>
      <c r="C2213" s="399" t="s">
        <v>2607</v>
      </c>
      <c r="D2213" s="399" t="s">
        <v>1830</v>
      </c>
      <c r="E2213" s="385"/>
      <c r="F2213" s="385" t="s">
        <v>2169</v>
      </c>
      <c r="G2213" s="385"/>
      <c r="H2213" s="401" t="s">
        <v>2759</v>
      </c>
      <c r="I2213" s="385" t="str">
        <f>CONCATENATE(I2214," ","(",H2214,")","-",N2214," ",M2214," ")</f>
        <v xml:space="preserve">Ремонт трансформаторов напряжения 35 кВ (ЗНОМ-35 ТН 35 1с, ТН 35 2с)-6 шт. </v>
      </c>
      <c r="J2213" s="489"/>
      <c r="K2213" s="450">
        <v>44256</v>
      </c>
      <c r="L2213" s="450">
        <v>44286</v>
      </c>
      <c r="M2213" s="490"/>
      <c r="N2213" s="490"/>
    </row>
    <row r="2214" spans="1:14" ht="121.5" hidden="1" outlineLevel="2">
      <c r="A2214" s="438"/>
      <c r="B2214" s="385" t="s">
        <v>300</v>
      </c>
      <c r="C2214" s="399" t="s">
        <v>2607</v>
      </c>
      <c r="D2214" s="399" t="s">
        <v>1830</v>
      </c>
      <c r="E2214" s="385" t="s">
        <v>2760</v>
      </c>
      <c r="F2214" s="385" t="s">
        <v>2169</v>
      </c>
      <c r="G2214" s="385"/>
      <c r="H2214" s="385" t="s">
        <v>2606</v>
      </c>
      <c r="I2214" s="385" t="s">
        <v>220</v>
      </c>
      <c r="J2214" s="489" t="s">
        <v>366</v>
      </c>
      <c r="K2214" s="450"/>
      <c r="L2214" s="450"/>
      <c r="M2214" s="490" t="s">
        <v>37</v>
      </c>
      <c r="N2214" s="490">
        <v>6</v>
      </c>
    </row>
    <row r="2215" spans="1:14" s="394" customFormat="1" ht="40.5" outlineLevel="1" collapsed="1">
      <c r="A2215" s="489" t="s">
        <v>1378</v>
      </c>
      <c r="B2215" s="385" t="s">
        <v>300</v>
      </c>
      <c r="C2215" s="399" t="s">
        <v>2607</v>
      </c>
      <c r="D2215" s="399" t="s">
        <v>1830</v>
      </c>
      <c r="E2215" s="385"/>
      <c r="F2215" s="385" t="s">
        <v>2169</v>
      </c>
      <c r="G2215" s="385"/>
      <c r="H2215" s="401" t="s">
        <v>2761</v>
      </c>
      <c r="I2215" s="385" t="str">
        <f>CONCATENATE(I2216," ","(",H2216,")","-",N2216," ",M2216," ")</f>
        <v xml:space="preserve">Ремонт трансформаторов 35 кВ (ТМ-4000/35 1Т, 2Т)-2 шт. </v>
      </c>
      <c r="J2215" s="489"/>
      <c r="K2215" s="450">
        <v>44287</v>
      </c>
      <c r="L2215" s="450">
        <v>44316</v>
      </c>
      <c r="M2215" s="490"/>
      <c r="N2215" s="490"/>
    </row>
    <row r="2216" spans="1:14" ht="40.5" hidden="1" outlineLevel="2">
      <c r="A2216" s="438"/>
      <c r="B2216" s="385" t="s">
        <v>300</v>
      </c>
      <c r="C2216" s="399" t="s">
        <v>2607</v>
      </c>
      <c r="D2216" s="399" t="s">
        <v>1830</v>
      </c>
      <c r="E2216" s="385" t="s">
        <v>2762</v>
      </c>
      <c r="F2216" s="385" t="s">
        <v>2169</v>
      </c>
      <c r="G2216" s="385"/>
      <c r="H2216" s="385" t="s">
        <v>2763</v>
      </c>
      <c r="I2216" s="385" t="s">
        <v>160</v>
      </c>
      <c r="J2216" s="489" t="s">
        <v>366</v>
      </c>
      <c r="K2216" s="450"/>
      <c r="L2216" s="450"/>
      <c r="M2216" s="490" t="s">
        <v>37</v>
      </c>
      <c r="N2216" s="490">
        <v>2</v>
      </c>
    </row>
    <row r="2217" spans="1:14" s="394" customFormat="1" ht="60.75" outlineLevel="1" collapsed="1">
      <c r="A2217" s="489" t="s">
        <v>1379</v>
      </c>
      <c r="B2217" s="385" t="s">
        <v>300</v>
      </c>
      <c r="C2217" s="399" t="s">
        <v>2607</v>
      </c>
      <c r="D2217" s="399" t="s">
        <v>1830</v>
      </c>
      <c r="E2217" s="385"/>
      <c r="F2217" s="385" t="s">
        <v>2169</v>
      </c>
      <c r="G2217" s="385"/>
      <c r="H2217" s="401" t="s">
        <v>2764</v>
      </c>
      <c r="I2217" s="385" t="str">
        <f>CONCATENATE(I2218," ","(",H2218,")","-",N2218," ",M2218," ",I2219,"  ","(",H2219,")","-",N2219," ",M2219," ",)</f>
        <v xml:space="preserve">Ремонт разъединителей 35 кВ (РНДЗ-35 ЛР 35 Т-168)-1 шт. Ремонт трансформаторов СН  (ТМ-40/10 1ТСН 10)-1 шт. </v>
      </c>
      <c r="J2217" s="489"/>
      <c r="K2217" s="450">
        <v>44470</v>
      </c>
      <c r="L2217" s="450">
        <v>44500</v>
      </c>
      <c r="M2217" s="490"/>
      <c r="N2217" s="490"/>
    </row>
    <row r="2218" spans="1:14" hidden="1" outlineLevel="2">
      <c r="A2218" s="438"/>
      <c r="B2218" s="385" t="s">
        <v>300</v>
      </c>
      <c r="C2218" s="399" t="s">
        <v>2607</v>
      </c>
      <c r="D2218" s="399" t="s">
        <v>1830</v>
      </c>
      <c r="E2218" s="385" t="s">
        <v>2765</v>
      </c>
      <c r="F2218" s="385" t="s">
        <v>2169</v>
      </c>
      <c r="G2218" s="385"/>
      <c r="H2218" s="385" t="s">
        <v>2766</v>
      </c>
      <c r="I2218" s="385" t="s">
        <v>201</v>
      </c>
      <c r="J2218" s="489" t="s">
        <v>365</v>
      </c>
      <c r="K2218" s="450"/>
      <c r="L2218" s="450"/>
      <c r="M2218" s="490" t="s">
        <v>37</v>
      </c>
      <c r="N2218" s="490">
        <v>1</v>
      </c>
    </row>
    <row r="2219" spans="1:14" hidden="1" outlineLevel="2">
      <c r="A2219" s="438"/>
      <c r="B2219" s="385" t="s">
        <v>298</v>
      </c>
      <c r="C2219" s="399" t="s">
        <v>2607</v>
      </c>
      <c r="D2219" s="399" t="s">
        <v>1830</v>
      </c>
      <c r="E2219" s="385" t="s">
        <v>2767</v>
      </c>
      <c r="F2219" s="385" t="s">
        <v>2169</v>
      </c>
      <c r="G2219" s="385"/>
      <c r="H2219" s="385" t="s">
        <v>2768</v>
      </c>
      <c r="I2219" s="385" t="s">
        <v>163</v>
      </c>
      <c r="J2219" s="489" t="s">
        <v>366</v>
      </c>
      <c r="K2219" s="450"/>
      <c r="L2219" s="450"/>
      <c r="M2219" s="490" t="s">
        <v>37</v>
      </c>
      <c r="N2219" s="490">
        <v>1</v>
      </c>
    </row>
    <row r="2220" spans="1:14" s="500" customFormat="1" ht="267" hidden="1" customHeight="1" outlineLevel="2" collapsed="1">
      <c r="A2220" s="489" t="s">
        <v>1380</v>
      </c>
      <c r="B2220" s="385" t="s">
        <v>300</v>
      </c>
      <c r="C2220" s="399" t="s">
        <v>2607</v>
      </c>
      <c r="D2220" s="399" t="s">
        <v>1830</v>
      </c>
      <c r="E2220" s="385"/>
      <c r="F2220" s="385" t="s">
        <v>2169</v>
      </c>
      <c r="G2220" s="385"/>
      <c r="H2220" s="401" t="s">
        <v>2769</v>
      </c>
      <c r="I2220" s="385" t="str">
        <f>CONCATENATE(I2221," ","(",H2221,")","-",N2221," ",M2221," ",I2222," ","(",H2222,")","-",N2222," ",M2222," ",I2223," ","(",H2223,")","-",N2223," ",M2223," ",I2225," ","(",H2225,")","-",N2225," ",M2225,)</f>
        <v>Ремонт трансформаторов 35 кВ (ТМ-2500/35 2Т)-1 шт. Ремонт трансформаторов СН (ТМ-25/6  2ТСН 6 )-1 шт. Ремонт выключателей 6-10 кВ (ВМП-10 В 6 яч 3, В 6 яч 13, В 6 яч 15)-3 шт. Ремонт разъединителей 6-10 кВ (РВ-6 ЛР 6 яч 3, ШР 6 яч 3, ТР 6 яч 13, ШР 6 2Т яч 13, ЛР 6 яч 15, ШР 6 яч 15, ШР 6 ТН 2с)-7 шт.</v>
      </c>
      <c r="J2220" s="489"/>
      <c r="K2220" s="450">
        <v>44378</v>
      </c>
      <c r="L2220" s="450">
        <v>44408</v>
      </c>
      <c r="M2220" s="490"/>
      <c r="N2220" s="490"/>
    </row>
    <row r="2221" spans="1:14" s="397" customFormat="1" ht="20.25" hidden="1" customHeight="1" outlineLevel="3">
      <c r="A2221" s="438"/>
      <c r="B2221" s="385" t="s">
        <v>300</v>
      </c>
      <c r="C2221" s="399" t="s">
        <v>2607</v>
      </c>
      <c r="D2221" s="399" t="s">
        <v>1830</v>
      </c>
      <c r="E2221" s="570" t="s">
        <v>3585</v>
      </c>
      <c r="F2221" s="385" t="s">
        <v>2169</v>
      </c>
      <c r="G2221" s="385"/>
      <c r="H2221" s="385" t="s">
        <v>2770</v>
      </c>
      <c r="I2221" s="385" t="s">
        <v>160</v>
      </c>
      <c r="J2221" s="489" t="s">
        <v>366</v>
      </c>
      <c r="K2221" s="489"/>
      <c r="L2221" s="489"/>
      <c r="M2221" s="490" t="s">
        <v>37</v>
      </c>
      <c r="N2221" s="490">
        <v>1</v>
      </c>
    </row>
    <row r="2222" spans="1:14" s="397" customFormat="1" ht="20.25" hidden="1" customHeight="1" outlineLevel="3">
      <c r="A2222" s="438"/>
      <c r="B2222" s="385" t="s">
        <v>298</v>
      </c>
      <c r="C2222" s="399" t="s">
        <v>2607</v>
      </c>
      <c r="D2222" s="399" t="s">
        <v>1830</v>
      </c>
      <c r="E2222" s="571"/>
      <c r="F2222" s="385" t="s">
        <v>2169</v>
      </c>
      <c r="G2222" s="385"/>
      <c r="H2222" s="385" t="s">
        <v>2771</v>
      </c>
      <c r="I2222" s="385" t="s">
        <v>163</v>
      </c>
      <c r="J2222" s="489" t="s">
        <v>366</v>
      </c>
      <c r="K2222" s="489"/>
      <c r="L2222" s="489"/>
      <c r="M2222" s="490" t="s">
        <v>37</v>
      </c>
      <c r="N2222" s="490">
        <v>1</v>
      </c>
    </row>
    <row r="2223" spans="1:14" s="397" customFormat="1" ht="22.5" hidden="1" customHeight="1" outlineLevel="3">
      <c r="A2223" s="438"/>
      <c r="B2223" s="385" t="s">
        <v>298</v>
      </c>
      <c r="C2223" s="399" t="s">
        <v>2607</v>
      </c>
      <c r="D2223" s="399" t="s">
        <v>1830</v>
      </c>
      <c r="E2223" s="571"/>
      <c r="F2223" s="385" t="s">
        <v>2169</v>
      </c>
      <c r="G2223" s="385"/>
      <c r="H2223" s="385" t="s">
        <v>2772</v>
      </c>
      <c r="I2223" s="385" t="s">
        <v>191</v>
      </c>
      <c r="J2223" s="489" t="s">
        <v>366</v>
      </c>
      <c r="K2223" s="489"/>
      <c r="L2223" s="489"/>
      <c r="M2223" s="490" t="s">
        <v>37</v>
      </c>
      <c r="N2223" s="490">
        <v>3</v>
      </c>
    </row>
    <row r="2224" spans="1:14" s="480" customFormat="1" ht="20.25" hidden="1" customHeight="1" outlineLevel="3">
      <c r="A2224" s="438"/>
      <c r="B2224" s="385" t="s">
        <v>298</v>
      </c>
      <c r="C2224" s="399" t="s">
        <v>2607</v>
      </c>
      <c r="D2224" s="399" t="s">
        <v>1830</v>
      </c>
      <c r="E2224" s="571"/>
      <c r="F2224" s="385" t="s">
        <v>2169</v>
      </c>
      <c r="G2224" s="385"/>
      <c r="H2224" s="385" t="s">
        <v>3586</v>
      </c>
      <c r="I2224" s="385" t="s">
        <v>234</v>
      </c>
      <c r="J2224" s="489" t="s">
        <v>366</v>
      </c>
      <c r="K2224" s="489"/>
      <c r="L2224" s="489"/>
      <c r="M2224" s="490" t="s">
        <v>37</v>
      </c>
      <c r="N2224" s="490">
        <v>1</v>
      </c>
    </row>
    <row r="2225" spans="1:14" s="480" customFormat="1" ht="40.5" hidden="1" customHeight="1" outlineLevel="3">
      <c r="A2225" s="438"/>
      <c r="B2225" s="385" t="s">
        <v>298</v>
      </c>
      <c r="C2225" s="399" t="s">
        <v>2607</v>
      </c>
      <c r="D2225" s="399" t="s">
        <v>1830</v>
      </c>
      <c r="E2225" s="572"/>
      <c r="F2225" s="385" t="s">
        <v>2169</v>
      </c>
      <c r="G2225" s="385"/>
      <c r="H2225" s="385" t="s">
        <v>3587</v>
      </c>
      <c r="I2225" s="385" t="s">
        <v>2465</v>
      </c>
      <c r="J2225" s="489" t="s">
        <v>366</v>
      </c>
      <c r="K2225" s="489"/>
      <c r="L2225" s="489"/>
      <c r="M2225" s="490" t="s">
        <v>37</v>
      </c>
      <c r="N2225" s="490">
        <v>7</v>
      </c>
    </row>
    <row r="2226" spans="1:14" s="394" customFormat="1" ht="121.5" outlineLevel="1" collapsed="1">
      <c r="A2226" s="489" t="s">
        <v>1381</v>
      </c>
      <c r="B2226" s="385" t="s">
        <v>300</v>
      </c>
      <c r="C2226" s="399" t="s">
        <v>2607</v>
      </c>
      <c r="D2226" s="399" t="s">
        <v>1830</v>
      </c>
      <c r="E2226" s="385"/>
      <c r="F2226" s="385" t="s">
        <v>2169</v>
      </c>
      <c r="G2226" s="385"/>
      <c r="H2226" s="401" t="s">
        <v>2773</v>
      </c>
      <c r="I2226" s="385" t="str">
        <f>CONCATENATE(I2227," ","(",H2227,")","-",N2227," ",M2227," ",I2228,"  ","(",H2228,")","-",N2228," ",M2228," ",I2229," ","(",H2229,")","-",N2229," ",M2229," ",)</f>
        <v xml:space="preserve">Ремонт выключателей 35 кВ (ВТ-35 В 35 1Т, В 35 2Т, СВ 35)-3 шт. Ремонт разъединителей 35 кВ  (РНДЗ-35 РРП 35 Т-173, РРП 35 Т-203, ШР 35 1Т, ШР 35 2Т, ЛР 35 Т-173, ЛР 35 Т-203, СР 35 1с, СР 35 2с)-8 шт. Ремонт трансформаторов напряжения 35 кВ ( НОМ-35 ТН 35 1с, ТН 35 2с)-4 шт. </v>
      </c>
      <c r="J2226" s="489"/>
      <c r="K2226" s="450">
        <v>44378</v>
      </c>
      <c r="L2226" s="450">
        <v>44408</v>
      </c>
      <c r="M2226" s="490"/>
      <c r="N2226" s="490"/>
    </row>
    <row r="2227" spans="1:14" ht="60.75" hidden="1" outlineLevel="2">
      <c r="A2227" s="438"/>
      <c r="B2227" s="385" t="s">
        <v>300</v>
      </c>
      <c r="C2227" s="399" t="s">
        <v>2607</v>
      </c>
      <c r="D2227" s="399" t="s">
        <v>1830</v>
      </c>
      <c r="E2227" s="385" t="s">
        <v>2774</v>
      </c>
      <c r="F2227" s="385" t="s">
        <v>2169</v>
      </c>
      <c r="G2227" s="385"/>
      <c r="H2227" s="385" t="s">
        <v>2775</v>
      </c>
      <c r="I2227" s="385" t="s">
        <v>189</v>
      </c>
      <c r="J2227" s="489" t="s">
        <v>365</v>
      </c>
      <c r="K2227" s="450"/>
      <c r="L2227" s="450"/>
      <c r="M2227" s="490" t="s">
        <v>37</v>
      </c>
      <c r="N2227" s="490">
        <v>3</v>
      </c>
    </row>
    <row r="2228" spans="1:14" ht="162" hidden="1" outlineLevel="2">
      <c r="A2228" s="438"/>
      <c r="B2228" s="385" t="s">
        <v>300</v>
      </c>
      <c r="C2228" s="399" t="s">
        <v>2607</v>
      </c>
      <c r="D2228" s="399" t="s">
        <v>1830</v>
      </c>
      <c r="E2228" s="385" t="s">
        <v>2776</v>
      </c>
      <c r="F2228" s="385" t="s">
        <v>2169</v>
      </c>
      <c r="G2228" s="385"/>
      <c r="H2228" s="385" t="s">
        <v>2777</v>
      </c>
      <c r="I2228" s="385" t="s">
        <v>201</v>
      </c>
      <c r="J2228" s="489" t="s">
        <v>365</v>
      </c>
      <c r="K2228" s="450"/>
      <c r="L2228" s="450"/>
      <c r="M2228" s="490" t="s">
        <v>37</v>
      </c>
      <c r="N2228" s="490">
        <v>8</v>
      </c>
    </row>
    <row r="2229" spans="1:14" ht="81" hidden="1" outlineLevel="2">
      <c r="A2229" s="438"/>
      <c r="B2229" s="385" t="s">
        <v>300</v>
      </c>
      <c r="C2229" s="399" t="s">
        <v>2607</v>
      </c>
      <c r="D2229" s="399" t="s">
        <v>1830</v>
      </c>
      <c r="E2229" s="385" t="s">
        <v>2778</v>
      </c>
      <c r="F2229" s="385" t="s">
        <v>2169</v>
      </c>
      <c r="G2229" s="385"/>
      <c r="H2229" s="385" t="s">
        <v>2779</v>
      </c>
      <c r="I2229" s="385" t="s">
        <v>220</v>
      </c>
      <c r="J2229" s="489" t="s">
        <v>366</v>
      </c>
      <c r="K2229" s="450"/>
      <c r="L2229" s="450"/>
      <c r="M2229" s="490" t="s">
        <v>37</v>
      </c>
      <c r="N2229" s="490">
        <v>4</v>
      </c>
    </row>
    <row r="2230" spans="1:14" s="394" customFormat="1" ht="81" outlineLevel="1" collapsed="1">
      <c r="A2230" s="489" t="s">
        <v>1382</v>
      </c>
      <c r="B2230" s="385" t="s">
        <v>300</v>
      </c>
      <c r="C2230" s="399" t="s">
        <v>2607</v>
      </c>
      <c r="D2230" s="399" t="s">
        <v>1830</v>
      </c>
      <c r="E2230" s="385"/>
      <c r="F2230" s="385" t="s">
        <v>2538</v>
      </c>
      <c r="G2230" s="385"/>
      <c r="H2230" s="401" t="s">
        <v>2780</v>
      </c>
      <c r="I2230" s="385" t="str">
        <f>CONCATENATE(I2231," ","(",H2231,")","-",N2231," ",M2231," ",I2232,"  ","(",H2232,")","-",N2232," ",M2232," ",)</f>
        <v xml:space="preserve">Замена трансформаторов тока 6-10 кВ (ТПЛ-10 на ТЛК-10 ТТ 6 яч 18)-2 шт. Ремонт разъединителей 35 кВ  (РНДЗ-35 ШР 35 1Т, ШР 35 2Т, СР 35 1с, СР 35 2с, ЛР 35 Т-168, ЛР 35 Т-162)-6 шт. </v>
      </c>
      <c r="J2230" s="489"/>
      <c r="K2230" s="450">
        <v>44256</v>
      </c>
      <c r="L2230" s="450">
        <v>44500</v>
      </c>
      <c r="M2230" s="490"/>
      <c r="N2230" s="490"/>
    </row>
    <row r="2231" spans="1:14" ht="60.75" hidden="1" outlineLevel="2">
      <c r="A2231" s="438"/>
      <c r="B2231" s="385" t="s">
        <v>298</v>
      </c>
      <c r="C2231" s="399" t="s">
        <v>2607</v>
      </c>
      <c r="D2231" s="399" t="s">
        <v>1830</v>
      </c>
      <c r="E2231" s="385" t="s">
        <v>2781</v>
      </c>
      <c r="F2231" s="385" t="s">
        <v>2161</v>
      </c>
      <c r="G2231" s="385" t="s">
        <v>2499</v>
      </c>
      <c r="H2231" s="385" t="s">
        <v>2782</v>
      </c>
      <c r="I2231" s="385" t="s">
        <v>967</v>
      </c>
      <c r="J2231" s="489" t="s">
        <v>365</v>
      </c>
      <c r="K2231" s="450"/>
      <c r="L2231" s="450"/>
      <c r="M2231" s="490" t="s">
        <v>37</v>
      </c>
      <c r="N2231" s="490">
        <v>2</v>
      </c>
    </row>
    <row r="2232" spans="1:14" ht="121.5" hidden="1" outlineLevel="2">
      <c r="A2232" s="438"/>
      <c r="B2232" s="385" t="s">
        <v>300</v>
      </c>
      <c r="C2232" s="399" t="s">
        <v>2607</v>
      </c>
      <c r="D2232" s="399" t="s">
        <v>1830</v>
      </c>
      <c r="E2232" s="385" t="s">
        <v>2783</v>
      </c>
      <c r="F2232" s="385" t="s">
        <v>2169</v>
      </c>
      <c r="G2232" s="385"/>
      <c r="H2232" s="385" t="s">
        <v>2784</v>
      </c>
      <c r="I2232" s="385" t="s">
        <v>201</v>
      </c>
      <c r="J2232" s="489" t="s">
        <v>366</v>
      </c>
      <c r="K2232" s="450"/>
      <c r="L2232" s="450"/>
      <c r="M2232" s="490" t="s">
        <v>37</v>
      </c>
      <c r="N2232" s="490">
        <v>6</v>
      </c>
    </row>
    <row r="2233" spans="1:14" s="394" customFormat="1" ht="243" outlineLevel="1" collapsed="1">
      <c r="A2233" s="489" t="s">
        <v>1383</v>
      </c>
      <c r="B2233" s="385" t="s">
        <v>300</v>
      </c>
      <c r="C2233" s="399" t="s">
        <v>2607</v>
      </c>
      <c r="D2233" s="399" t="s">
        <v>1830</v>
      </c>
      <c r="E2233" s="385"/>
      <c r="F2233" s="385" t="s">
        <v>2538</v>
      </c>
      <c r="G2233" s="385"/>
      <c r="H2233" s="401" t="s">
        <v>2785</v>
      </c>
      <c r="I2233" s="385" t="str">
        <f>CONCATENATE(I2234," ","(",H2234,")","-",N2234," ",M2234," ",I2235,"  ","(",H2235,")","-",N2235," ",M2235," ",I2236," ","(",H2236,")","-",N2236," ",M2236," ",I2237," ","(",H2237,")","-",N2237," ",M2237," ",)</f>
        <v xml:space="preserve">Замена трансформаторов тока 6-10 кВ (ТПЛ-10 на ТЛК-10 ТТ 6 яч 17)-2 шт. Ремонт разъединителей 35 кВ  (РЛНД-35 ЛР 35 Т-211, ЛР 35 Т-169, ЛР 35 Т-182, ШР 35 Т-182, ШР 35 Т-169, ШР 35 Т-211, СР 35 1с, СР 35 2с, ШР 35 ТН 1с, ШР 35 ТН 2с, ШР 35 1Т, ШР 110 2Т)-12 шт. Ремонт разъединителей 6-10 кВ (РВ-10 ШР 6 ТН 6 2с, ШР 6 1Т яч 3, ЛР 6 яч 7, ШР 6 яч 7, СР 6  2с, ЛР 6 яч 17, ШР 6 яч 17, ШР 6 2Т, ЛР 6 яч 6, ШР 6 яч 6, ЛР 6 яч 26, ШР 6 яч 26, ЛР 6 яч 20, ШР 6 яч 20, ЛР 6 яч 22, ШР 6 яч 22  СР 6 1с)-17 шт. Ремонт выключателей 6-10 кВ (ВМГ-133 В 6 1Т, В 6 яч 7, СВ 6, В 6 яч 17, В 6 2Т, В 6 яч 6 , В 6 яч 26 , В 6 яч 20, В 6 яч 22)-9 шт. </v>
      </c>
      <c r="J2233" s="489"/>
      <c r="K2233" s="450">
        <v>44348</v>
      </c>
      <c r="L2233" s="450">
        <v>44500</v>
      </c>
      <c r="M2233" s="490"/>
      <c r="N2233" s="490"/>
    </row>
    <row r="2234" spans="1:14" ht="60.75" hidden="1" outlineLevel="2">
      <c r="A2234" s="438"/>
      <c r="B2234" s="385" t="s">
        <v>298</v>
      </c>
      <c r="C2234" s="399" t="s">
        <v>2607</v>
      </c>
      <c r="D2234" s="399" t="s">
        <v>1830</v>
      </c>
      <c r="E2234" s="460" t="s">
        <v>2786</v>
      </c>
      <c r="F2234" s="385" t="s">
        <v>2161</v>
      </c>
      <c r="G2234" s="385" t="s">
        <v>2499</v>
      </c>
      <c r="H2234" s="385" t="s">
        <v>2787</v>
      </c>
      <c r="I2234" s="385" t="s">
        <v>967</v>
      </c>
      <c r="J2234" s="489" t="s">
        <v>365</v>
      </c>
      <c r="K2234" s="450"/>
      <c r="L2234" s="450"/>
      <c r="M2234" s="490" t="s">
        <v>37</v>
      </c>
      <c r="N2234" s="490">
        <v>2</v>
      </c>
    </row>
    <row r="2235" spans="1:14" ht="60.75" hidden="1" customHeight="1" outlineLevel="2">
      <c r="A2235" s="438"/>
      <c r="B2235" s="385" t="s">
        <v>300</v>
      </c>
      <c r="C2235" s="399" t="s">
        <v>2607</v>
      </c>
      <c r="D2235" s="399" t="s">
        <v>1830</v>
      </c>
      <c r="E2235" s="570" t="s">
        <v>2788</v>
      </c>
      <c r="F2235" s="385" t="s">
        <v>2169</v>
      </c>
      <c r="G2235" s="385"/>
      <c r="H2235" s="385" t="s">
        <v>2789</v>
      </c>
      <c r="I2235" s="385" t="s">
        <v>201</v>
      </c>
      <c r="J2235" s="489" t="s">
        <v>366</v>
      </c>
      <c r="K2235" s="450"/>
      <c r="L2235" s="450"/>
      <c r="M2235" s="490" t="s">
        <v>37</v>
      </c>
      <c r="N2235" s="490">
        <v>12</v>
      </c>
    </row>
    <row r="2236" spans="1:14" ht="81" hidden="1" customHeight="1" outlineLevel="2">
      <c r="A2236" s="438"/>
      <c r="B2236" s="385" t="s">
        <v>298</v>
      </c>
      <c r="C2236" s="399" t="s">
        <v>2607</v>
      </c>
      <c r="D2236" s="399" t="s">
        <v>1830</v>
      </c>
      <c r="E2236" s="571"/>
      <c r="F2236" s="385" t="s">
        <v>2169</v>
      </c>
      <c r="G2236" s="385"/>
      <c r="H2236" s="385" t="s">
        <v>2790</v>
      </c>
      <c r="I2236" s="385" t="s">
        <v>2465</v>
      </c>
      <c r="J2236" s="489" t="s">
        <v>366</v>
      </c>
      <c r="K2236" s="450"/>
      <c r="L2236" s="450"/>
      <c r="M2236" s="490" t="s">
        <v>37</v>
      </c>
      <c r="N2236" s="490">
        <v>17</v>
      </c>
    </row>
    <row r="2237" spans="1:14" ht="40.5" hidden="1" customHeight="1" outlineLevel="2">
      <c r="A2237" s="438"/>
      <c r="B2237" s="385" t="s">
        <v>298</v>
      </c>
      <c r="C2237" s="399" t="s">
        <v>2607</v>
      </c>
      <c r="D2237" s="399" t="s">
        <v>1830</v>
      </c>
      <c r="E2237" s="572"/>
      <c r="F2237" s="385" t="s">
        <v>2169</v>
      </c>
      <c r="G2237" s="385"/>
      <c r="H2237" s="385" t="s">
        <v>2791</v>
      </c>
      <c r="I2237" s="385" t="s">
        <v>191</v>
      </c>
      <c r="J2237" s="489" t="s">
        <v>366</v>
      </c>
      <c r="K2237" s="450"/>
      <c r="L2237" s="450"/>
      <c r="M2237" s="490" t="s">
        <v>37</v>
      </c>
      <c r="N2237" s="490">
        <v>9</v>
      </c>
    </row>
    <row r="2238" spans="1:14" s="394" customFormat="1" outlineLevel="1" collapsed="1">
      <c r="A2238" s="489" t="s">
        <v>1384</v>
      </c>
      <c r="B2238" s="385" t="s">
        <v>300</v>
      </c>
      <c r="C2238" s="399" t="s">
        <v>2607</v>
      </c>
      <c r="D2238" s="399" t="s">
        <v>1830</v>
      </c>
      <c r="E2238" s="385"/>
      <c r="F2238" s="385" t="s">
        <v>2169</v>
      </c>
      <c r="G2238" s="385"/>
      <c r="H2238" s="401" t="s">
        <v>2792</v>
      </c>
      <c r="I2238" s="385" t="str">
        <f>CONCATENATE(I2239," ","(",H2239,")","-",N2239," ",M2239," ")</f>
        <v xml:space="preserve">Ремонт трансформаторов СН (ТМ-63/6 1ТСН 6)-1 шт. </v>
      </c>
      <c r="J2238" s="489"/>
      <c r="K2238" s="450">
        <v>44287</v>
      </c>
      <c r="L2238" s="450">
        <v>44316</v>
      </c>
      <c r="M2238" s="490"/>
      <c r="N2238" s="490"/>
    </row>
    <row r="2239" spans="1:14" hidden="1" outlineLevel="2">
      <c r="A2239" s="438"/>
      <c r="B2239" s="385" t="s">
        <v>298</v>
      </c>
      <c r="C2239" s="399" t="s">
        <v>2607</v>
      </c>
      <c r="D2239" s="399" t="s">
        <v>1830</v>
      </c>
      <c r="E2239" s="385" t="s">
        <v>2793</v>
      </c>
      <c r="F2239" s="385" t="s">
        <v>2169</v>
      </c>
      <c r="G2239" s="385"/>
      <c r="H2239" s="385" t="s">
        <v>2794</v>
      </c>
      <c r="I2239" s="385" t="s">
        <v>163</v>
      </c>
      <c r="J2239" s="489" t="s">
        <v>366</v>
      </c>
      <c r="K2239" s="450"/>
      <c r="L2239" s="450"/>
      <c r="M2239" s="490" t="s">
        <v>37</v>
      </c>
      <c r="N2239" s="490">
        <v>1</v>
      </c>
    </row>
    <row r="2240" spans="1:14" s="394" customFormat="1" outlineLevel="1" collapsed="1">
      <c r="A2240" s="489" t="s">
        <v>1385</v>
      </c>
      <c r="B2240" s="385" t="s">
        <v>300</v>
      </c>
      <c r="C2240" s="399" t="s">
        <v>2607</v>
      </c>
      <c r="D2240" s="399" t="s">
        <v>1830</v>
      </c>
      <c r="E2240" s="385"/>
      <c r="F2240" s="385" t="s">
        <v>2169</v>
      </c>
      <c r="G2240" s="385"/>
      <c r="H2240" s="401" t="s">
        <v>2795</v>
      </c>
      <c r="I2240" s="385" t="str">
        <f>CONCATENATE(I2241," ","(",H2241,")","-",N2241," ",M2241," ")</f>
        <v xml:space="preserve">Ремонт выключателей 6-10 кВ (Lhci-10 В 6 яч 10)-1 шт. </v>
      </c>
      <c r="J2240" s="489"/>
      <c r="K2240" s="450">
        <v>44317</v>
      </c>
      <c r="L2240" s="450">
        <v>44347</v>
      </c>
      <c r="M2240" s="490"/>
      <c r="N2240" s="490"/>
    </row>
    <row r="2241" spans="1:14" hidden="1" outlineLevel="2">
      <c r="A2241" s="438"/>
      <c r="B2241" s="385" t="s">
        <v>298</v>
      </c>
      <c r="C2241" s="399" t="s">
        <v>2607</v>
      </c>
      <c r="D2241" s="399" t="s">
        <v>1830</v>
      </c>
      <c r="E2241" s="385" t="s">
        <v>2796</v>
      </c>
      <c r="F2241" s="385" t="s">
        <v>2169</v>
      </c>
      <c r="G2241" s="385"/>
      <c r="H2241" s="385" t="s">
        <v>2797</v>
      </c>
      <c r="I2241" s="385" t="s">
        <v>191</v>
      </c>
      <c r="J2241" s="489" t="s">
        <v>366</v>
      </c>
      <c r="K2241" s="450"/>
      <c r="L2241" s="450"/>
      <c r="M2241" s="490" t="s">
        <v>37</v>
      </c>
      <c r="N2241" s="490">
        <v>1</v>
      </c>
    </row>
    <row r="2242" spans="1:14" s="394" customFormat="1" ht="40.5" outlineLevel="1" collapsed="1">
      <c r="A2242" s="489" t="s">
        <v>1386</v>
      </c>
      <c r="B2242" s="385" t="s">
        <v>300</v>
      </c>
      <c r="C2242" s="399" t="s">
        <v>2607</v>
      </c>
      <c r="D2242" s="399" t="s">
        <v>1830</v>
      </c>
      <c r="E2242" s="385"/>
      <c r="F2242" s="385" t="s">
        <v>2169</v>
      </c>
      <c r="G2242" s="385"/>
      <c r="H2242" s="401" t="s">
        <v>2798</v>
      </c>
      <c r="I2242" s="385" t="str">
        <f>CONCATENATE(I2243," ","(",H2243,")","-",N2243," ",M2243," ")</f>
        <v xml:space="preserve">Ремонт трансформаторов СН (ТМ-40/6 1ТСН 6, 2ТСН 6)-2 шт. </v>
      </c>
      <c r="J2242" s="489"/>
      <c r="K2242" s="450">
        <v>44317</v>
      </c>
      <c r="L2242" s="450">
        <v>44347</v>
      </c>
      <c r="M2242" s="490"/>
      <c r="N2242" s="490"/>
    </row>
    <row r="2243" spans="1:14" ht="40.5" hidden="1" outlineLevel="2">
      <c r="A2243" s="438"/>
      <c r="B2243" s="385" t="s">
        <v>298</v>
      </c>
      <c r="C2243" s="399" t="s">
        <v>2607</v>
      </c>
      <c r="D2243" s="399" t="s">
        <v>1830</v>
      </c>
      <c r="E2243" s="385" t="s">
        <v>2799</v>
      </c>
      <c r="F2243" s="385" t="s">
        <v>2169</v>
      </c>
      <c r="G2243" s="385"/>
      <c r="H2243" s="385" t="s">
        <v>2800</v>
      </c>
      <c r="I2243" s="385" t="s">
        <v>163</v>
      </c>
      <c r="J2243" s="489" t="s">
        <v>366</v>
      </c>
      <c r="K2243" s="450"/>
      <c r="L2243" s="450"/>
      <c r="M2243" s="490" t="s">
        <v>37</v>
      </c>
      <c r="N2243" s="490">
        <v>2</v>
      </c>
    </row>
    <row r="2244" spans="1:14" s="394" customFormat="1" ht="60.75" outlineLevel="1" collapsed="1">
      <c r="A2244" s="489" t="s">
        <v>1387</v>
      </c>
      <c r="B2244" s="385" t="s">
        <v>300</v>
      </c>
      <c r="C2244" s="399" t="s">
        <v>2607</v>
      </c>
      <c r="D2244" s="399" t="s">
        <v>1830</v>
      </c>
      <c r="E2244" s="385"/>
      <c r="F2244" s="385" t="s">
        <v>2169</v>
      </c>
      <c r="G2244" s="385"/>
      <c r="H2244" s="401" t="s">
        <v>2801</v>
      </c>
      <c r="I2244" s="385" t="str">
        <f>CONCATENATE(I2245," ","(",H2245,")","-",N2245," ",M2245," ",I2246,"  ","(",H2246,")","-",N2246," ",M2246," ",)</f>
        <v xml:space="preserve">Ремонт трансформаторов 35 кВ (ТДНС-10000/35, ТМ-7500/35 1Т, 2Т)-2 шт. Ремонт трансформаторов СН  (ТМ-63/6 1ТСН 6, 2ТСН 6)-2 шт. </v>
      </c>
      <c r="J2244" s="489"/>
      <c r="K2244" s="450">
        <v>44317</v>
      </c>
      <c r="L2244" s="450">
        <v>44347</v>
      </c>
      <c r="M2244" s="490"/>
      <c r="N2244" s="490"/>
    </row>
    <row r="2245" spans="1:14" ht="40.5" hidden="1" outlineLevel="2">
      <c r="A2245" s="438"/>
      <c r="B2245" s="385" t="s">
        <v>300</v>
      </c>
      <c r="C2245" s="399" t="s">
        <v>2607</v>
      </c>
      <c r="D2245" s="399" t="s">
        <v>1830</v>
      </c>
      <c r="E2245" s="385" t="s">
        <v>2802</v>
      </c>
      <c r="F2245" s="385" t="s">
        <v>2169</v>
      </c>
      <c r="G2245" s="385"/>
      <c r="H2245" s="385" t="s">
        <v>2803</v>
      </c>
      <c r="I2245" s="385" t="s">
        <v>160</v>
      </c>
      <c r="J2245" s="489" t="s">
        <v>366</v>
      </c>
      <c r="K2245" s="450"/>
      <c r="L2245" s="450"/>
      <c r="M2245" s="490" t="s">
        <v>37</v>
      </c>
      <c r="N2245" s="490">
        <v>2</v>
      </c>
    </row>
    <row r="2246" spans="1:14" ht="40.5" hidden="1" outlineLevel="2">
      <c r="A2246" s="438"/>
      <c r="B2246" s="385" t="s">
        <v>298</v>
      </c>
      <c r="C2246" s="399" t="s">
        <v>2607</v>
      </c>
      <c r="D2246" s="399" t="s">
        <v>1830</v>
      </c>
      <c r="E2246" s="385" t="s">
        <v>2804</v>
      </c>
      <c r="F2246" s="385" t="s">
        <v>2169</v>
      </c>
      <c r="G2246" s="385"/>
      <c r="H2246" s="385" t="s">
        <v>2805</v>
      </c>
      <c r="I2246" s="385" t="s">
        <v>163</v>
      </c>
      <c r="J2246" s="489" t="s">
        <v>366</v>
      </c>
      <c r="K2246" s="450"/>
      <c r="L2246" s="450"/>
      <c r="M2246" s="490" t="s">
        <v>37</v>
      </c>
      <c r="N2246" s="490">
        <v>2</v>
      </c>
    </row>
    <row r="2247" spans="1:14" s="394" customFormat="1" ht="60.75" outlineLevel="1" collapsed="1">
      <c r="A2247" s="489" t="s">
        <v>1388</v>
      </c>
      <c r="B2247" s="385" t="s">
        <v>300</v>
      </c>
      <c r="C2247" s="399" t="s">
        <v>2315</v>
      </c>
      <c r="D2247" s="399" t="s">
        <v>1830</v>
      </c>
      <c r="E2247" s="385"/>
      <c r="F2247" s="385" t="s">
        <v>2169</v>
      </c>
      <c r="G2247" s="385"/>
      <c r="H2247" s="401" t="s">
        <v>2806</v>
      </c>
      <c r="I2247" s="385" t="str">
        <f>CONCATENATE(I2248," ","(",H2248,")","-",N2248," ",M2248," ",I2249,"  ","(",H2249,")","-",N2249," ",M2249," ",)</f>
        <v xml:space="preserve">Ремонт разъединителей 35 кВ (РЛНД-35 ЛР 35 Т-181)-1 шт. Ремонт выключателей 6-10 кВ  (ВМП-10 В 10 1Т яч.3)-1 шт. </v>
      </c>
      <c r="J2247" s="489"/>
      <c r="K2247" s="450">
        <v>44470</v>
      </c>
      <c r="L2247" s="450">
        <v>44530</v>
      </c>
      <c r="M2247" s="490"/>
      <c r="N2247" s="490"/>
    </row>
    <row r="2248" spans="1:14" hidden="1" outlineLevel="2">
      <c r="A2248" s="438"/>
      <c r="B2248" s="385" t="s">
        <v>300</v>
      </c>
      <c r="C2248" s="399" t="s">
        <v>2315</v>
      </c>
      <c r="D2248" s="399" t="s">
        <v>1830</v>
      </c>
      <c r="E2248" s="385" t="s">
        <v>2807</v>
      </c>
      <c r="F2248" s="385" t="s">
        <v>2169</v>
      </c>
      <c r="G2248" s="385"/>
      <c r="H2248" s="385" t="s">
        <v>2808</v>
      </c>
      <c r="I2248" s="385" t="s">
        <v>201</v>
      </c>
      <c r="J2248" s="489" t="s">
        <v>366</v>
      </c>
      <c r="K2248" s="450"/>
      <c r="L2248" s="450"/>
      <c r="M2248" s="490" t="s">
        <v>37</v>
      </c>
      <c r="N2248" s="490">
        <v>1</v>
      </c>
    </row>
    <row r="2249" spans="1:14" hidden="1" outlineLevel="2">
      <c r="A2249" s="438"/>
      <c r="B2249" s="385" t="s">
        <v>298</v>
      </c>
      <c r="C2249" s="399" t="s">
        <v>2315</v>
      </c>
      <c r="D2249" s="399" t="s">
        <v>1830</v>
      </c>
      <c r="E2249" s="385" t="s">
        <v>2809</v>
      </c>
      <c r="F2249" s="385" t="s">
        <v>2169</v>
      </c>
      <c r="G2249" s="385"/>
      <c r="H2249" s="385" t="s">
        <v>2810</v>
      </c>
      <c r="I2249" s="385" t="s">
        <v>191</v>
      </c>
      <c r="J2249" s="489" t="s">
        <v>366</v>
      </c>
      <c r="K2249" s="450"/>
      <c r="L2249" s="450"/>
      <c r="M2249" s="490" t="s">
        <v>37</v>
      </c>
      <c r="N2249" s="490">
        <v>1</v>
      </c>
    </row>
    <row r="2250" spans="1:14" s="394" customFormat="1" outlineLevel="1" collapsed="1">
      <c r="A2250" s="489" t="s">
        <v>1389</v>
      </c>
      <c r="B2250" s="385" t="s">
        <v>300</v>
      </c>
      <c r="C2250" s="399" t="s">
        <v>2315</v>
      </c>
      <c r="D2250" s="399" t="s">
        <v>1830</v>
      </c>
      <c r="E2250" s="385"/>
      <c r="F2250" s="385" t="s">
        <v>2169</v>
      </c>
      <c r="G2250" s="385"/>
      <c r="H2250" s="401" t="s">
        <v>2811</v>
      </c>
      <c r="I2250" s="385" t="str">
        <f>CONCATENATE(I2251," ","(",H2251,")","-",N2251," ",M2251," ")</f>
        <v xml:space="preserve">Ремонт трансформаторов 35 кВ (ТМН-2500/6 1Т)-1 шт. </v>
      </c>
      <c r="J2250" s="489"/>
      <c r="K2250" s="450">
        <v>44378</v>
      </c>
      <c r="L2250" s="450">
        <v>44408</v>
      </c>
      <c r="M2250" s="490"/>
      <c r="N2250" s="490"/>
    </row>
    <row r="2251" spans="1:14" hidden="1" outlineLevel="2">
      <c r="A2251" s="438"/>
      <c r="B2251" s="385" t="s">
        <v>300</v>
      </c>
      <c r="C2251" s="399" t="s">
        <v>2315</v>
      </c>
      <c r="D2251" s="399" t="s">
        <v>1830</v>
      </c>
      <c r="E2251" s="385" t="s">
        <v>2812</v>
      </c>
      <c r="F2251" s="385" t="s">
        <v>2169</v>
      </c>
      <c r="G2251" s="385"/>
      <c r="H2251" s="385" t="s">
        <v>2813</v>
      </c>
      <c r="I2251" s="385" t="s">
        <v>160</v>
      </c>
      <c r="J2251" s="489" t="s">
        <v>366</v>
      </c>
      <c r="K2251" s="450"/>
      <c r="L2251" s="450"/>
      <c r="M2251" s="490" t="s">
        <v>37</v>
      </c>
      <c r="N2251" s="490">
        <v>1</v>
      </c>
    </row>
    <row r="2252" spans="1:14" s="394" customFormat="1" ht="60.75" outlineLevel="1" collapsed="1">
      <c r="A2252" s="489" t="s">
        <v>1390</v>
      </c>
      <c r="B2252" s="385" t="s">
        <v>300</v>
      </c>
      <c r="C2252" s="399" t="s">
        <v>2315</v>
      </c>
      <c r="D2252" s="399" t="s">
        <v>1830</v>
      </c>
      <c r="E2252" s="385"/>
      <c r="F2252" s="385" t="s">
        <v>2169</v>
      </c>
      <c r="G2252" s="385"/>
      <c r="H2252" s="401" t="s">
        <v>2814</v>
      </c>
      <c r="I2252" s="385" t="str">
        <f>CONCATENATE(I2253," ","(",H2253,")","-",N2253," ",M2253," ",I2254,"  ","(",H2254,")","-",N2254," ",M2254," ",)</f>
        <v xml:space="preserve">Ремонт трансформаторов СН (ТМ-100/35 2ТСН 35)-1 шт. Ремонт трансформаторов напряжения 35 кВ  (ЗНОМ-35 ТН 35 1с)-3 шт. </v>
      </c>
      <c r="J2252" s="489"/>
      <c r="K2252" s="450">
        <v>44378</v>
      </c>
      <c r="L2252" s="450">
        <v>44439</v>
      </c>
      <c r="M2252" s="490"/>
      <c r="N2252" s="490"/>
    </row>
    <row r="2253" spans="1:14" hidden="1" outlineLevel="2">
      <c r="A2253" s="438"/>
      <c r="B2253" s="385" t="s">
        <v>300</v>
      </c>
      <c r="C2253" s="399" t="s">
        <v>2315</v>
      </c>
      <c r="D2253" s="399" t="s">
        <v>1830</v>
      </c>
      <c r="E2253" s="385" t="s">
        <v>2815</v>
      </c>
      <c r="F2253" s="385" t="s">
        <v>2169</v>
      </c>
      <c r="G2253" s="385"/>
      <c r="H2253" s="385" t="s">
        <v>2816</v>
      </c>
      <c r="I2253" s="385" t="s">
        <v>163</v>
      </c>
      <c r="J2253" s="489" t="s">
        <v>366</v>
      </c>
      <c r="K2253" s="450"/>
      <c r="L2253" s="450"/>
      <c r="M2253" s="490" t="s">
        <v>37</v>
      </c>
      <c r="N2253" s="490">
        <v>1</v>
      </c>
    </row>
    <row r="2254" spans="1:14" hidden="1" outlineLevel="2">
      <c r="A2254" s="438"/>
      <c r="B2254" s="385" t="s">
        <v>300</v>
      </c>
      <c r="C2254" s="399" t="s">
        <v>2315</v>
      </c>
      <c r="D2254" s="399" t="s">
        <v>1830</v>
      </c>
      <c r="E2254" s="385" t="s">
        <v>2817</v>
      </c>
      <c r="F2254" s="385" t="s">
        <v>2169</v>
      </c>
      <c r="G2254" s="385"/>
      <c r="H2254" s="385" t="s">
        <v>2613</v>
      </c>
      <c r="I2254" s="385" t="s">
        <v>220</v>
      </c>
      <c r="J2254" s="489" t="s">
        <v>366</v>
      </c>
      <c r="K2254" s="450"/>
      <c r="L2254" s="450"/>
      <c r="M2254" s="490" t="s">
        <v>37</v>
      </c>
      <c r="N2254" s="490">
        <v>3</v>
      </c>
    </row>
    <row r="2255" spans="1:14" s="394" customFormat="1" ht="60.75" outlineLevel="1" collapsed="1">
      <c r="A2255" s="489" t="s">
        <v>1391</v>
      </c>
      <c r="B2255" s="385" t="s">
        <v>300</v>
      </c>
      <c r="C2255" s="399" t="s">
        <v>2315</v>
      </c>
      <c r="D2255" s="399" t="s">
        <v>1830</v>
      </c>
      <c r="E2255" s="385"/>
      <c r="F2255" s="385" t="s">
        <v>2169</v>
      </c>
      <c r="G2255" s="385"/>
      <c r="H2255" s="401" t="s">
        <v>2818</v>
      </c>
      <c r="I2255" s="385" t="str">
        <f>CONCATENATE(I2256," ","(",H2256,")","-",N2256," ",M2256," ")</f>
        <v xml:space="preserve">Ремонт разъединителей 35 кВ (РЛНД-35 СР 35 1с, СР 35 2с; ЛР 35 Т-193, ЛР 35 Т-240,  ШР 35 Т-193, ШР 35 Т-240; ШР 35 2ТСН, ШР 35 ТН 1с, ШР 35 2с)-9 шт. </v>
      </c>
      <c r="J2255" s="489"/>
      <c r="K2255" s="450">
        <v>44348</v>
      </c>
      <c r="L2255" s="450">
        <v>44377</v>
      </c>
      <c r="M2255" s="490"/>
      <c r="N2255" s="490"/>
    </row>
    <row r="2256" spans="1:14" ht="182.25" hidden="1" outlineLevel="2">
      <c r="A2256" s="438"/>
      <c r="B2256" s="385" t="s">
        <v>300</v>
      </c>
      <c r="C2256" s="399" t="s">
        <v>2315</v>
      </c>
      <c r="D2256" s="399" t="s">
        <v>1830</v>
      </c>
      <c r="E2256" s="385" t="s">
        <v>2819</v>
      </c>
      <c r="F2256" s="385" t="s">
        <v>2169</v>
      </c>
      <c r="G2256" s="385"/>
      <c r="H2256" s="385" t="s">
        <v>2820</v>
      </c>
      <c r="I2256" s="385" t="s">
        <v>201</v>
      </c>
      <c r="J2256" s="489" t="s">
        <v>366</v>
      </c>
      <c r="K2256" s="450"/>
      <c r="L2256" s="450"/>
      <c r="M2256" s="490" t="s">
        <v>37</v>
      </c>
      <c r="N2256" s="490">
        <v>9</v>
      </c>
    </row>
    <row r="2257" spans="1:14" s="394" customFormat="1" ht="60.75" outlineLevel="1" collapsed="1">
      <c r="A2257" s="489" t="s">
        <v>1392</v>
      </c>
      <c r="B2257" s="385" t="s">
        <v>300</v>
      </c>
      <c r="C2257" s="399" t="s">
        <v>2315</v>
      </c>
      <c r="D2257" s="399" t="s">
        <v>1830</v>
      </c>
      <c r="E2257" s="385"/>
      <c r="F2257" s="385" t="s">
        <v>2169</v>
      </c>
      <c r="G2257" s="385"/>
      <c r="H2257" s="401" t="s">
        <v>2821</v>
      </c>
      <c r="I2257" s="385" t="str">
        <f>CONCATENATE(I2258," ","(",H2258,")","-",N2258," ",M2258," ",I2259,"  ","(",H2259,")","-",N2259," ",M2259," ",)</f>
        <v xml:space="preserve">Ремонт трансформаторов 35 кВ (ТМ-4000/35 1Т)-1 шт. Ремонт разъединителей 35 кВ  (РЛНД-35 ШР 35 1Т)-1 шт. </v>
      </c>
      <c r="J2257" s="489"/>
      <c r="K2257" s="450">
        <v>44440</v>
      </c>
      <c r="L2257" s="450">
        <v>44469</v>
      </c>
      <c r="M2257" s="490"/>
      <c r="N2257" s="490"/>
    </row>
    <row r="2258" spans="1:14" hidden="1" outlineLevel="2">
      <c r="A2258" s="438"/>
      <c r="B2258" s="385" t="s">
        <v>300</v>
      </c>
      <c r="C2258" s="399" t="s">
        <v>2315</v>
      </c>
      <c r="D2258" s="399" t="s">
        <v>1830</v>
      </c>
      <c r="E2258" s="385" t="s">
        <v>2822</v>
      </c>
      <c r="F2258" s="385" t="s">
        <v>2169</v>
      </c>
      <c r="G2258" s="385"/>
      <c r="H2258" s="385" t="s">
        <v>2823</v>
      </c>
      <c r="I2258" s="385" t="s">
        <v>160</v>
      </c>
      <c r="J2258" s="489" t="s">
        <v>366</v>
      </c>
      <c r="K2258" s="450"/>
      <c r="L2258" s="450"/>
      <c r="M2258" s="490" t="s">
        <v>37</v>
      </c>
      <c r="N2258" s="490">
        <v>1</v>
      </c>
    </row>
    <row r="2259" spans="1:14" hidden="1" outlineLevel="2">
      <c r="A2259" s="438"/>
      <c r="B2259" s="385" t="s">
        <v>300</v>
      </c>
      <c r="C2259" s="399" t="s">
        <v>2315</v>
      </c>
      <c r="D2259" s="399" t="s">
        <v>1830</v>
      </c>
      <c r="E2259" s="385" t="s">
        <v>2824</v>
      </c>
      <c r="F2259" s="385" t="s">
        <v>2169</v>
      </c>
      <c r="G2259" s="385"/>
      <c r="H2259" s="385" t="s">
        <v>2825</v>
      </c>
      <c r="I2259" s="385" t="s">
        <v>201</v>
      </c>
      <c r="J2259" s="489" t="s">
        <v>366</v>
      </c>
      <c r="K2259" s="450"/>
      <c r="L2259" s="450"/>
      <c r="M2259" s="490" t="s">
        <v>37</v>
      </c>
      <c r="N2259" s="490">
        <v>1</v>
      </c>
    </row>
    <row r="2260" spans="1:14" s="394" customFormat="1" ht="101.25" outlineLevel="1" collapsed="1">
      <c r="A2260" s="489" t="s">
        <v>1393</v>
      </c>
      <c r="B2260" s="385" t="s">
        <v>300</v>
      </c>
      <c r="C2260" s="399" t="s">
        <v>49</v>
      </c>
      <c r="D2260" s="399" t="s">
        <v>1830</v>
      </c>
      <c r="E2260" s="385"/>
      <c r="F2260" s="385" t="s">
        <v>303</v>
      </c>
      <c r="G2260" s="385"/>
      <c r="H2260" s="401" t="s">
        <v>2826</v>
      </c>
      <c r="I2260" s="385" t="str">
        <f>CONCATENATE(I2261," ","(",H2261,")","-",N2261," ",M2261," ",I2262,"  ","(",H2262,")","-",N2262," ",M2262," ",I2263," ","(",H2263,")","-",N2263," ",M2263," ",)</f>
        <v xml:space="preserve">Замена опорно-стержневых изоляторов разъединителей 35 кВ (РНДЗ 35 ШР 35 1Т, ШР 35 ТН 2с)-12 шт. Замена трансформаторов тока   (ТПЛ-10 на ТЛП-10 ТТ 10 яч. 13)-2 шт. Замена опорных изоляторов 6-10 кВ (яч 13)-4 шт. </v>
      </c>
      <c r="J2260" s="489"/>
      <c r="K2260" s="450">
        <v>44317</v>
      </c>
      <c r="L2260" s="450">
        <v>44347</v>
      </c>
      <c r="M2260" s="490"/>
      <c r="N2260" s="490"/>
    </row>
    <row r="2261" spans="1:14" ht="40.5" hidden="1" outlineLevel="2">
      <c r="A2261" s="438"/>
      <c r="B2261" s="385" t="s">
        <v>300</v>
      </c>
      <c r="C2261" s="399" t="s">
        <v>49</v>
      </c>
      <c r="D2261" s="399" t="s">
        <v>2094</v>
      </c>
      <c r="E2261" s="385" t="s">
        <v>2827</v>
      </c>
      <c r="F2261" s="385" t="s">
        <v>303</v>
      </c>
      <c r="G2261" s="385"/>
      <c r="H2261" s="385" t="s">
        <v>2828</v>
      </c>
      <c r="I2261" s="385" t="s">
        <v>204</v>
      </c>
      <c r="J2261" s="489" t="s">
        <v>365</v>
      </c>
      <c r="K2261" s="450"/>
      <c r="L2261" s="450"/>
      <c r="M2261" s="490" t="s">
        <v>37</v>
      </c>
      <c r="N2261" s="490">
        <v>12</v>
      </c>
    </row>
    <row r="2262" spans="1:14" ht="40.5" hidden="1" outlineLevel="2">
      <c r="A2262" s="438"/>
      <c r="B2262" s="385" t="s">
        <v>298</v>
      </c>
      <c r="C2262" s="399" t="s">
        <v>49</v>
      </c>
      <c r="D2262" s="399" t="s">
        <v>2094</v>
      </c>
      <c r="E2262" s="385" t="s">
        <v>2829</v>
      </c>
      <c r="F2262" s="385" t="s">
        <v>303</v>
      </c>
      <c r="G2262" s="385"/>
      <c r="H2262" s="385" t="s">
        <v>2830</v>
      </c>
      <c r="I2262" s="385" t="s">
        <v>2831</v>
      </c>
      <c r="J2262" s="489" t="s">
        <v>365</v>
      </c>
      <c r="K2262" s="450"/>
      <c r="L2262" s="450"/>
      <c r="M2262" s="490" t="s">
        <v>37</v>
      </c>
      <c r="N2262" s="490">
        <v>2</v>
      </c>
    </row>
    <row r="2263" spans="1:14" ht="40.5" hidden="1" outlineLevel="2">
      <c r="A2263" s="438"/>
      <c r="B2263" s="385" t="s">
        <v>300</v>
      </c>
      <c r="C2263" s="399" t="s">
        <v>49</v>
      </c>
      <c r="D2263" s="399" t="s">
        <v>2094</v>
      </c>
      <c r="E2263" s="385" t="s">
        <v>2829</v>
      </c>
      <c r="F2263" s="385" t="s">
        <v>303</v>
      </c>
      <c r="G2263" s="385"/>
      <c r="H2263" s="385" t="s">
        <v>2832</v>
      </c>
      <c r="I2263" s="385" t="s">
        <v>2833</v>
      </c>
      <c r="J2263" s="489" t="s">
        <v>365</v>
      </c>
      <c r="K2263" s="450"/>
      <c r="L2263" s="450"/>
      <c r="M2263" s="490" t="s">
        <v>37</v>
      </c>
      <c r="N2263" s="490">
        <v>4</v>
      </c>
    </row>
    <row r="2264" spans="1:14" s="394" customFormat="1" ht="40.5" outlineLevel="1" collapsed="1">
      <c r="A2264" s="489" t="s">
        <v>1394</v>
      </c>
      <c r="B2264" s="385" t="s">
        <v>300</v>
      </c>
      <c r="C2264" s="399" t="s">
        <v>49</v>
      </c>
      <c r="D2264" s="399" t="s">
        <v>1830</v>
      </c>
      <c r="E2264" s="385"/>
      <c r="F2264" s="385" t="s">
        <v>2169</v>
      </c>
      <c r="G2264" s="385"/>
      <c r="H2264" s="401" t="s">
        <v>2834</v>
      </c>
      <c r="I2264" s="385" t="str">
        <f>CONCATENATE(I2265," ","(",H2265,")","-",N2265," ",M2265," ",)</f>
        <v xml:space="preserve">Ремонт разъединителей 35 кВ (РНДЗ 35 ЛР 35 Т-226)-1 шт. </v>
      </c>
      <c r="J2264" s="489"/>
      <c r="K2264" s="450">
        <v>44348</v>
      </c>
      <c r="L2264" s="450">
        <v>44377</v>
      </c>
      <c r="M2264" s="490"/>
      <c r="N2264" s="490"/>
    </row>
    <row r="2265" spans="1:14" hidden="1" outlineLevel="2">
      <c r="A2265" s="438"/>
      <c r="B2265" s="385" t="s">
        <v>300</v>
      </c>
      <c r="C2265" s="532" t="s">
        <v>49</v>
      </c>
      <c r="D2265" s="459" t="s">
        <v>2094</v>
      </c>
      <c r="E2265" s="459" t="s">
        <v>2835</v>
      </c>
      <c r="F2265" s="459" t="s">
        <v>2169</v>
      </c>
      <c r="G2265" s="459"/>
      <c r="H2265" s="459" t="s">
        <v>2836</v>
      </c>
      <c r="I2265" s="385" t="s">
        <v>201</v>
      </c>
      <c r="J2265" s="529" t="s">
        <v>365</v>
      </c>
      <c r="K2265" s="474"/>
      <c r="L2265" s="474"/>
      <c r="M2265" s="530" t="s">
        <v>37</v>
      </c>
      <c r="N2265" s="530">
        <v>1</v>
      </c>
    </row>
    <row r="2266" spans="1:14" s="394" customFormat="1" ht="40.5" outlineLevel="1" collapsed="1">
      <c r="A2266" s="489" t="s">
        <v>1395</v>
      </c>
      <c r="B2266" s="385" t="s">
        <v>300</v>
      </c>
      <c r="C2266" s="399" t="s">
        <v>49</v>
      </c>
      <c r="D2266" s="399" t="s">
        <v>1830</v>
      </c>
      <c r="E2266" s="385"/>
      <c r="F2266" s="385" t="s">
        <v>2837</v>
      </c>
      <c r="G2266" s="385"/>
      <c r="H2266" s="401" t="s">
        <v>2838</v>
      </c>
      <c r="I2266" s="385" t="str">
        <f>CONCATENATE(I2267," ","(",H2267,")","-",N2267," ",M2267," ",I2268,"  ","(",H2268,")","-",N2268," ",M2268," ",)</f>
        <v xml:space="preserve">Ремонт трансформаторов 35 кВ (ТМ 6300/35 1Т)-1 шт. Ремонт собственных нужд   (ЩСН)-1 шт. </v>
      </c>
      <c r="J2266" s="489"/>
      <c r="K2266" s="450">
        <v>44440</v>
      </c>
      <c r="L2266" s="450">
        <v>44469</v>
      </c>
      <c r="M2266" s="490"/>
      <c r="N2266" s="490"/>
    </row>
    <row r="2267" spans="1:14" hidden="1" outlineLevel="2">
      <c r="A2267" s="438"/>
      <c r="B2267" s="385" t="s">
        <v>300</v>
      </c>
      <c r="C2267" s="412" t="s">
        <v>49</v>
      </c>
      <c r="D2267" s="399" t="s">
        <v>2094</v>
      </c>
      <c r="E2267" s="385" t="s">
        <v>2839</v>
      </c>
      <c r="F2267" s="385" t="s">
        <v>2169</v>
      </c>
      <c r="G2267" s="385"/>
      <c r="H2267" s="385" t="s">
        <v>2840</v>
      </c>
      <c r="I2267" s="385" t="s">
        <v>160</v>
      </c>
      <c r="J2267" s="489" t="s">
        <v>366</v>
      </c>
      <c r="K2267" s="450"/>
      <c r="L2267" s="450"/>
      <c r="M2267" s="490" t="s">
        <v>37</v>
      </c>
      <c r="N2267" s="490">
        <v>1</v>
      </c>
    </row>
    <row r="2268" spans="1:14" ht="40.5" hidden="1" outlineLevel="2">
      <c r="A2268" s="438"/>
      <c r="B2268" s="385" t="s">
        <v>301</v>
      </c>
      <c r="C2268" s="412" t="s">
        <v>49</v>
      </c>
      <c r="D2268" s="399" t="s">
        <v>2094</v>
      </c>
      <c r="E2268" s="385" t="s">
        <v>2841</v>
      </c>
      <c r="F2268" s="385" t="s">
        <v>303</v>
      </c>
      <c r="G2268" s="385"/>
      <c r="H2268" s="385" t="s">
        <v>2842</v>
      </c>
      <c r="I2268" s="385" t="s">
        <v>2843</v>
      </c>
      <c r="J2268" s="489" t="s">
        <v>366</v>
      </c>
      <c r="K2268" s="450"/>
      <c r="L2268" s="450"/>
      <c r="M2268" s="490" t="s">
        <v>37</v>
      </c>
      <c r="N2268" s="490">
        <v>1</v>
      </c>
    </row>
    <row r="2269" spans="1:14">
      <c r="A2269" s="403" t="s">
        <v>331</v>
      </c>
      <c r="B2269" s="403"/>
      <c r="C2269" s="403"/>
      <c r="D2269" s="403"/>
      <c r="E2269" s="490"/>
      <c r="F2269" s="385"/>
      <c r="G2269" s="385"/>
      <c r="H2269" s="539" t="s">
        <v>2844</v>
      </c>
      <c r="I2269" s="385"/>
      <c r="J2269" s="489"/>
      <c r="K2269" s="450"/>
      <c r="L2269" s="450"/>
      <c r="M2269" s="389"/>
      <c r="N2269" s="389"/>
    </row>
    <row r="2270" spans="1:14" s="384" customFormat="1" ht="40.5" outlineLevel="1" collapsed="1">
      <c r="A2270" s="489" t="s">
        <v>1767</v>
      </c>
      <c r="B2270" s="452" t="s">
        <v>298</v>
      </c>
      <c r="C2270" s="398" t="s">
        <v>2126</v>
      </c>
      <c r="D2270" s="455" t="s">
        <v>1830</v>
      </c>
      <c r="E2270" s="490" t="s">
        <v>2845</v>
      </c>
      <c r="F2270" s="385" t="s">
        <v>2161</v>
      </c>
      <c r="G2270" s="456" t="s">
        <v>3588</v>
      </c>
      <c r="H2270" s="401" t="s">
        <v>2846</v>
      </c>
      <c r="I2270" s="385" t="str">
        <f>CONCATENATE(I2271," ","(",H2271,")","-",N2271," ",M2271)</f>
        <v>Замена трансформаторов напряжения 6-10 кВ (НАМИ 10: ТН 6 яч.1, ТН 6 яч.6)-2 шт.</v>
      </c>
      <c r="J2270" s="489" t="s">
        <v>365</v>
      </c>
      <c r="K2270" s="450">
        <v>44348</v>
      </c>
      <c r="L2270" s="450">
        <v>44377</v>
      </c>
      <c r="M2270" s="490"/>
      <c r="N2270" s="490"/>
    </row>
    <row r="2271" spans="1:14" hidden="1" outlineLevel="2">
      <c r="A2271" s="438"/>
      <c r="B2271" s="452" t="s">
        <v>298</v>
      </c>
      <c r="C2271" s="489" t="s">
        <v>2126</v>
      </c>
      <c r="D2271" s="454" t="s">
        <v>1830</v>
      </c>
      <c r="E2271" s="385"/>
      <c r="F2271" s="385"/>
      <c r="G2271" s="385"/>
      <c r="H2271" s="401" t="s">
        <v>3589</v>
      </c>
      <c r="I2271" s="385" t="s">
        <v>1655</v>
      </c>
      <c r="J2271" s="489"/>
      <c r="K2271" s="450"/>
      <c r="L2271" s="450"/>
      <c r="M2271" s="490" t="s">
        <v>37</v>
      </c>
      <c r="N2271" s="490">
        <v>2</v>
      </c>
    </row>
    <row r="2272" spans="1:14" s="384" customFormat="1" ht="121.5" outlineLevel="1" collapsed="1">
      <c r="A2272" s="489" t="s">
        <v>1768</v>
      </c>
      <c r="B2272" s="452" t="s">
        <v>298</v>
      </c>
      <c r="C2272" s="398" t="s">
        <v>2126</v>
      </c>
      <c r="D2272" s="455" t="s">
        <v>1830</v>
      </c>
      <c r="E2272" s="490" t="s">
        <v>2847</v>
      </c>
      <c r="F2272" s="385" t="s">
        <v>2161</v>
      </c>
      <c r="G2272" s="456" t="s">
        <v>3588</v>
      </c>
      <c r="H2272" s="401" t="s">
        <v>2848</v>
      </c>
      <c r="I2272" s="385" t="str">
        <f>CONCATENATE(I2273," ","(",H2273,")","-",N2273," ",M2273," ",I2274," ","(",H2274,")","-",N2274," ",M2274," ",I2275," ","(",H2275,")","-",N2275," ",M2275)</f>
        <v>Замена трансформаторов тока 6-10 кВ (ТЛП-10: ТТ 6 яч.10 ф.А, С)-2 шт. Ремонт РУ10-0,4 кВ (Замена контактов предохранителя - 6 шт)-1 шт. Ремонт строительной части ТП, КТП (Окраска оборудования - 28 м2
Восстановление надписей - 30 букв)-1 шт.</v>
      </c>
      <c r="J2272" s="489" t="s">
        <v>365</v>
      </c>
      <c r="K2272" s="450">
        <v>44348</v>
      </c>
      <c r="L2272" s="450">
        <v>44377</v>
      </c>
      <c r="M2272" s="490"/>
      <c r="N2272" s="490"/>
    </row>
    <row r="2273" spans="1:14" ht="40.5" hidden="1" outlineLevel="2">
      <c r="A2273" s="438"/>
      <c r="B2273" s="452" t="s">
        <v>298</v>
      </c>
      <c r="C2273" s="489" t="s">
        <v>2126</v>
      </c>
      <c r="D2273" s="454" t="s">
        <v>1830</v>
      </c>
      <c r="E2273" s="385"/>
      <c r="F2273" s="385" t="s">
        <v>2161</v>
      </c>
      <c r="G2273" s="456" t="s">
        <v>3588</v>
      </c>
      <c r="H2273" s="401" t="s">
        <v>2849</v>
      </c>
      <c r="I2273" s="385" t="s">
        <v>967</v>
      </c>
      <c r="J2273" s="489"/>
      <c r="K2273" s="450"/>
      <c r="L2273" s="450"/>
      <c r="M2273" s="490" t="s">
        <v>37</v>
      </c>
      <c r="N2273" s="490">
        <v>2</v>
      </c>
    </row>
    <row r="2274" spans="1:14" hidden="1" outlineLevel="2">
      <c r="A2274" s="438"/>
      <c r="B2274" s="452" t="s">
        <v>298</v>
      </c>
      <c r="C2274" s="489" t="s">
        <v>2126</v>
      </c>
      <c r="D2274" s="454" t="s">
        <v>1830</v>
      </c>
      <c r="E2274" s="385"/>
      <c r="F2274" s="385"/>
      <c r="G2274" s="385"/>
      <c r="H2274" s="401" t="s">
        <v>2852</v>
      </c>
      <c r="I2274" s="385" t="s">
        <v>171</v>
      </c>
      <c r="J2274" s="489"/>
      <c r="K2274" s="450"/>
      <c r="L2274" s="450"/>
      <c r="M2274" s="490" t="s">
        <v>37</v>
      </c>
      <c r="N2274" s="490">
        <v>1</v>
      </c>
    </row>
    <row r="2275" spans="1:14" ht="40.5" hidden="1" outlineLevel="2">
      <c r="A2275" s="438"/>
      <c r="B2275" s="452" t="s">
        <v>298</v>
      </c>
      <c r="C2275" s="489" t="s">
        <v>2126</v>
      </c>
      <c r="D2275" s="454" t="s">
        <v>1830</v>
      </c>
      <c r="E2275" s="385"/>
      <c r="F2275" s="385"/>
      <c r="G2275" s="385"/>
      <c r="H2275" s="401" t="s">
        <v>2853</v>
      </c>
      <c r="I2275" s="385" t="s">
        <v>164</v>
      </c>
      <c r="J2275" s="489"/>
      <c r="K2275" s="450"/>
      <c r="L2275" s="450"/>
      <c r="M2275" s="490" t="s">
        <v>37</v>
      </c>
      <c r="N2275" s="490">
        <v>1</v>
      </c>
    </row>
    <row r="2276" spans="1:14" s="384" customFormat="1" ht="81" outlineLevel="1" collapsed="1">
      <c r="A2276" s="489" t="s">
        <v>1403</v>
      </c>
      <c r="B2276" s="452" t="s">
        <v>298</v>
      </c>
      <c r="C2276" s="398" t="s">
        <v>2126</v>
      </c>
      <c r="D2276" s="455" t="s">
        <v>1830</v>
      </c>
      <c r="E2276" s="490" t="s">
        <v>2850</v>
      </c>
      <c r="F2276" s="385" t="s">
        <v>2169</v>
      </c>
      <c r="G2276" s="385"/>
      <c r="H2276" s="401" t="s">
        <v>2851</v>
      </c>
      <c r="I2276" s="385" t="str">
        <f>CONCATENATE(I2277," ","(",H2277,")","-",N2277," ",M2277," ",I2278," ","(",H2278,")","-",N2278," ",M2278)</f>
        <v>Ремонт РУ10-0,4 кВ (Замена контактов предохранителя - 6 шт)-1 шт. Ремонт строительной части ТП, КТП (Окраска оборудования - 28 м2
Восстановление надписей - 30 букв)-1 шт.</v>
      </c>
      <c r="J2276" s="489" t="s">
        <v>366</v>
      </c>
      <c r="K2276" s="450">
        <v>44378</v>
      </c>
      <c r="L2276" s="450">
        <v>44408</v>
      </c>
      <c r="M2276" s="490"/>
      <c r="N2276" s="490"/>
    </row>
    <row r="2277" spans="1:14" hidden="1" outlineLevel="2">
      <c r="A2277" s="438"/>
      <c r="B2277" s="452" t="s">
        <v>298</v>
      </c>
      <c r="C2277" s="489" t="s">
        <v>2126</v>
      </c>
      <c r="D2277" s="454" t="s">
        <v>1830</v>
      </c>
      <c r="E2277" s="385"/>
      <c r="F2277" s="385"/>
      <c r="G2277" s="385"/>
      <c r="H2277" s="401" t="s">
        <v>2852</v>
      </c>
      <c r="I2277" s="385" t="s">
        <v>171</v>
      </c>
      <c r="J2277" s="489"/>
      <c r="K2277" s="450"/>
      <c r="L2277" s="450"/>
      <c r="M2277" s="490" t="s">
        <v>37</v>
      </c>
      <c r="N2277" s="490">
        <v>1</v>
      </c>
    </row>
    <row r="2278" spans="1:14" ht="40.5" hidden="1" outlineLevel="2">
      <c r="A2278" s="438"/>
      <c r="B2278" s="452" t="s">
        <v>298</v>
      </c>
      <c r="C2278" s="489" t="s">
        <v>2126</v>
      </c>
      <c r="D2278" s="454" t="s">
        <v>1830</v>
      </c>
      <c r="E2278" s="385"/>
      <c r="F2278" s="385"/>
      <c r="G2278" s="385"/>
      <c r="H2278" s="401" t="s">
        <v>2853</v>
      </c>
      <c r="I2278" s="385" t="s">
        <v>164</v>
      </c>
      <c r="J2278" s="489"/>
      <c r="K2278" s="450"/>
      <c r="L2278" s="450"/>
      <c r="M2278" s="490" t="s">
        <v>37</v>
      </c>
      <c r="N2278" s="490">
        <v>1</v>
      </c>
    </row>
    <row r="2279" spans="1:14" s="384" customFormat="1" ht="81" outlineLevel="1" collapsed="1">
      <c r="A2279" s="489" t="s">
        <v>1404</v>
      </c>
      <c r="B2279" s="452" t="s">
        <v>298</v>
      </c>
      <c r="C2279" s="398" t="s">
        <v>2126</v>
      </c>
      <c r="D2279" s="455" t="s">
        <v>1830</v>
      </c>
      <c r="E2279" s="490" t="s">
        <v>2854</v>
      </c>
      <c r="F2279" s="385" t="s">
        <v>2169</v>
      </c>
      <c r="G2279" s="385"/>
      <c r="H2279" s="401" t="s">
        <v>2855</v>
      </c>
      <c r="I2279" s="385" t="str">
        <f>CONCATENATE(I2280," ","(",H2280,")","-",N2280," ",M2280," ",I2281," ","(",H2281,")","-",N2281," ",M2281)</f>
        <v>Ремонт РУ10-0,4 кВ (Установка разрядников - 3 шт)-1 шт. Ремонт строительной части ТП, КТП (Окраска оборудования - 56 м2
Восстановление надписей - 30 букв)-1 шт.</v>
      </c>
      <c r="J2279" s="489" t="s">
        <v>366</v>
      </c>
      <c r="K2279" s="450">
        <v>44378</v>
      </c>
      <c r="L2279" s="450">
        <v>44408</v>
      </c>
      <c r="M2279" s="490"/>
      <c r="N2279" s="490"/>
    </row>
    <row r="2280" spans="1:14" hidden="1" outlineLevel="2">
      <c r="A2280" s="438"/>
      <c r="B2280" s="452" t="s">
        <v>298</v>
      </c>
      <c r="C2280" s="489" t="s">
        <v>2126</v>
      </c>
      <c r="D2280" s="454" t="s">
        <v>1830</v>
      </c>
      <c r="E2280" s="385"/>
      <c r="F2280" s="385"/>
      <c r="G2280" s="385"/>
      <c r="H2280" s="401" t="s">
        <v>2856</v>
      </c>
      <c r="I2280" s="385" t="s">
        <v>171</v>
      </c>
      <c r="J2280" s="489"/>
      <c r="K2280" s="450"/>
      <c r="L2280" s="450"/>
      <c r="M2280" s="490" t="s">
        <v>37</v>
      </c>
      <c r="N2280" s="490">
        <v>1</v>
      </c>
    </row>
    <row r="2281" spans="1:14" ht="40.5" hidden="1" outlineLevel="2">
      <c r="A2281" s="438"/>
      <c r="B2281" s="452" t="s">
        <v>298</v>
      </c>
      <c r="C2281" s="489" t="s">
        <v>2126</v>
      </c>
      <c r="D2281" s="454" t="s">
        <v>1830</v>
      </c>
      <c r="E2281" s="385"/>
      <c r="F2281" s="385"/>
      <c r="G2281" s="385"/>
      <c r="H2281" s="401" t="s">
        <v>2857</v>
      </c>
      <c r="I2281" s="385" t="s">
        <v>164</v>
      </c>
      <c r="J2281" s="489"/>
      <c r="K2281" s="450"/>
      <c r="L2281" s="450"/>
      <c r="M2281" s="490" t="s">
        <v>37</v>
      </c>
      <c r="N2281" s="490">
        <v>1</v>
      </c>
    </row>
    <row r="2282" spans="1:14" s="384" customFormat="1" ht="81" outlineLevel="1" collapsed="1">
      <c r="A2282" s="489" t="s">
        <v>1769</v>
      </c>
      <c r="B2282" s="452" t="s">
        <v>298</v>
      </c>
      <c r="C2282" s="398" t="s">
        <v>2126</v>
      </c>
      <c r="D2282" s="455" t="s">
        <v>1830</v>
      </c>
      <c r="E2282" s="490" t="s">
        <v>2858</v>
      </c>
      <c r="F2282" s="385" t="s">
        <v>2169</v>
      </c>
      <c r="G2282" s="385"/>
      <c r="H2282" s="401" t="s">
        <v>2859</v>
      </c>
      <c r="I2282" s="385" t="str">
        <f>CONCATENATE(I2283," ","(",H2283,")","-",N2283," ",M2283," ",I2284," ","(",H2284,")","-",N2284," ",M2284)</f>
        <v>Ремонт РУ10-0,4 кВ (Замена контактов предохранителя - 6 шт)-1 шт. Ремонт строительной части ТП, КТП (Окраска оборудования - 28 м2
Восстановление надписей - 30 букв)-1 шт.</v>
      </c>
      <c r="J2282" s="489" t="s">
        <v>366</v>
      </c>
      <c r="K2282" s="450">
        <v>44378</v>
      </c>
      <c r="L2282" s="450">
        <v>44408</v>
      </c>
      <c r="M2282" s="490"/>
      <c r="N2282" s="490"/>
    </row>
    <row r="2283" spans="1:14" ht="39" hidden="1" customHeight="1" outlineLevel="2">
      <c r="A2283" s="438"/>
      <c r="B2283" s="452" t="s">
        <v>298</v>
      </c>
      <c r="C2283" s="489" t="s">
        <v>2126</v>
      </c>
      <c r="D2283" s="454" t="s">
        <v>1830</v>
      </c>
      <c r="E2283" s="385"/>
      <c r="F2283" s="385"/>
      <c r="G2283" s="385"/>
      <c r="H2283" s="401" t="s">
        <v>2852</v>
      </c>
      <c r="I2283" s="385" t="s">
        <v>171</v>
      </c>
      <c r="J2283" s="489"/>
      <c r="K2283" s="450"/>
      <c r="L2283" s="450"/>
      <c r="M2283" s="490" t="s">
        <v>37</v>
      </c>
      <c r="N2283" s="490">
        <v>1</v>
      </c>
    </row>
    <row r="2284" spans="1:14" ht="40.5" hidden="1" outlineLevel="2">
      <c r="A2284" s="438"/>
      <c r="B2284" s="452" t="s">
        <v>298</v>
      </c>
      <c r="C2284" s="489" t="s">
        <v>2126</v>
      </c>
      <c r="D2284" s="454" t="s">
        <v>1830</v>
      </c>
      <c r="E2284" s="385"/>
      <c r="F2284" s="385"/>
      <c r="G2284" s="385"/>
      <c r="H2284" s="401" t="s">
        <v>2853</v>
      </c>
      <c r="I2284" s="385" t="s">
        <v>164</v>
      </c>
      <c r="J2284" s="489"/>
      <c r="K2284" s="450"/>
      <c r="L2284" s="450"/>
      <c r="M2284" s="490" t="s">
        <v>37</v>
      </c>
      <c r="N2284" s="490">
        <v>1</v>
      </c>
    </row>
    <row r="2285" spans="1:14" s="384" customFormat="1" ht="121.5" outlineLevel="1" collapsed="1">
      <c r="A2285" s="489" t="s">
        <v>1405</v>
      </c>
      <c r="B2285" s="452" t="s">
        <v>298</v>
      </c>
      <c r="C2285" s="398" t="s">
        <v>2126</v>
      </c>
      <c r="D2285" s="455" t="s">
        <v>1830</v>
      </c>
      <c r="E2285" s="490" t="s">
        <v>2860</v>
      </c>
      <c r="F2285" s="385" t="s">
        <v>2169</v>
      </c>
      <c r="G2285" s="385"/>
      <c r="H2285" s="401" t="s">
        <v>2861</v>
      </c>
      <c r="I2285" s="385" t="str">
        <f>CONCATENATE(I2286," ","(",H2286,")","-",N2286," ",M2286," ",I2287," ","(",H2287,")","-",N2287," ",M2287)</f>
        <v>Ремонт РУ10-0,4 кВ (Замена АВ - 2 шт
Установка АВ - 1 шт
Замена контактов предохранителя - 6 шт
Ошиновка АВ - 1,8м)-1 шт. Ремонт строительной части ТП, КТП (Окраска оборудования - 56 м2
Восстановление надписей - 30 букв)-1 шт.</v>
      </c>
      <c r="J2285" s="489" t="s">
        <v>365</v>
      </c>
      <c r="K2285" s="450">
        <v>44378</v>
      </c>
      <c r="L2285" s="450">
        <v>44408</v>
      </c>
      <c r="M2285" s="490"/>
      <c r="N2285" s="490"/>
    </row>
    <row r="2286" spans="1:14" ht="81" hidden="1" outlineLevel="2">
      <c r="A2286" s="438"/>
      <c r="B2286" s="452" t="s">
        <v>298</v>
      </c>
      <c r="C2286" s="489" t="s">
        <v>2126</v>
      </c>
      <c r="D2286" s="454" t="s">
        <v>1830</v>
      </c>
      <c r="E2286" s="385"/>
      <c r="F2286" s="385"/>
      <c r="G2286" s="385"/>
      <c r="H2286" s="401" t="s">
        <v>2862</v>
      </c>
      <c r="I2286" s="385" t="s">
        <v>171</v>
      </c>
      <c r="J2286" s="489"/>
      <c r="K2286" s="450"/>
      <c r="L2286" s="450"/>
      <c r="M2286" s="490" t="s">
        <v>37</v>
      </c>
      <c r="N2286" s="490">
        <v>1</v>
      </c>
    </row>
    <row r="2287" spans="1:14" ht="40.5" hidden="1" outlineLevel="2">
      <c r="A2287" s="438"/>
      <c r="B2287" s="452" t="s">
        <v>298</v>
      </c>
      <c r="C2287" s="489" t="s">
        <v>2126</v>
      </c>
      <c r="D2287" s="454" t="s">
        <v>1830</v>
      </c>
      <c r="E2287" s="385"/>
      <c r="F2287" s="385"/>
      <c r="G2287" s="385"/>
      <c r="H2287" s="401" t="s">
        <v>2857</v>
      </c>
      <c r="I2287" s="385" t="s">
        <v>164</v>
      </c>
      <c r="J2287" s="489"/>
      <c r="K2287" s="450"/>
      <c r="L2287" s="450"/>
      <c r="M2287" s="490" t="s">
        <v>37</v>
      </c>
      <c r="N2287" s="490">
        <v>1</v>
      </c>
    </row>
    <row r="2288" spans="1:14" s="384" customFormat="1" ht="121.5" outlineLevel="1" collapsed="1">
      <c r="A2288" s="489" t="s">
        <v>1406</v>
      </c>
      <c r="B2288" s="452" t="s">
        <v>298</v>
      </c>
      <c r="C2288" s="398" t="s">
        <v>2126</v>
      </c>
      <c r="D2288" s="455" t="s">
        <v>1830</v>
      </c>
      <c r="E2288" s="490" t="s">
        <v>2863</v>
      </c>
      <c r="F2288" s="385" t="s">
        <v>2169</v>
      </c>
      <c r="G2288" s="385"/>
      <c r="H2288" s="401" t="s">
        <v>2864</v>
      </c>
      <c r="I2288" s="385" t="str">
        <f>CONCATENATE(I2289," ","(",H2289,")","-",N2289," ",M2289," ",I2290," ","(",H2290,")","-",N2290," ",M2290)</f>
        <v>Ремонт РУ10-0,4 кВ (Замена контактов предохранителя - 6 шт
Ремонт разъединителя - 1 шт)-1 шт. Ремонт строительной части ТП, КТП (Окраска оборудования - 56 м2
Восстановление надписей - 30 букв)-1 шт.</v>
      </c>
      <c r="J2288" s="489" t="s">
        <v>366</v>
      </c>
      <c r="K2288" s="450">
        <v>44409</v>
      </c>
      <c r="L2288" s="450">
        <v>44439</v>
      </c>
      <c r="M2288" s="490"/>
      <c r="N2288" s="490"/>
    </row>
    <row r="2289" spans="1:14" ht="40.5" hidden="1" outlineLevel="2">
      <c r="A2289" s="438"/>
      <c r="B2289" s="452" t="s">
        <v>298</v>
      </c>
      <c r="C2289" s="489" t="s">
        <v>2126</v>
      </c>
      <c r="D2289" s="454" t="s">
        <v>1830</v>
      </c>
      <c r="E2289" s="385"/>
      <c r="F2289" s="385"/>
      <c r="G2289" s="385"/>
      <c r="H2289" s="401" t="s">
        <v>2865</v>
      </c>
      <c r="I2289" s="385" t="s">
        <v>171</v>
      </c>
      <c r="J2289" s="489"/>
      <c r="K2289" s="450"/>
      <c r="L2289" s="450"/>
      <c r="M2289" s="490" t="s">
        <v>37</v>
      </c>
      <c r="N2289" s="490">
        <v>1</v>
      </c>
    </row>
    <row r="2290" spans="1:14" ht="40.5" hidden="1" outlineLevel="2">
      <c r="A2290" s="438"/>
      <c r="B2290" s="452" t="s">
        <v>298</v>
      </c>
      <c r="C2290" s="489" t="s">
        <v>2126</v>
      </c>
      <c r="D2290" s="454" t="s">
        <v>1830</v>
      </c>
      <c r="E2290" s="385"/>
      <c r="F2290" s="385"/>
      <c r="G2290" s="385"/>
      <c r="H2290" s="401" t="s">
        <v>2857</v>
      </c>
      <c r="I2290" s="385" t="s">
        <v>164</v>
      </c>
      <c r="J2290" s="489"/>
      <c r="K2290" s="450"/>
      <c r="L2290" s="450"/>
      <c r="M2290" s="490" t="s">
        <v>37</v>
      </c>
      <c r="N2290" s="490">
        <v>1</v>
      </c>
    </row>
    <row r="2291" spans="1:14" s="384" customFormat="1" ht="81" outlineLevel="1" collapsed="1">
      <c r="A2291" s="489" t="s">
        <v>1407</v>
      </c>
      <c r="B2291" s="452" t="s">
        <v>298</v>
      </c>
      <c r="C2291" s="398" t="s">
        <v>2126</v>
      </c>
      <c r="D2291" s="455" t="s">
        <v>1830</v>
      </c>
      <c r="E2291" s="490" t="s">
        <v>2866</v>
      </c>
      <c r="F2291" s="385" t="s">
        <v>2169</v>
      </c>
      <c r="G2291" s="385"/>
      <c r="H2291" s="401" t="s">
        <v>2867</v>
      </c>
      <c r="I2291" s="385" t="str">
        <f>CONCATENATE(I2292," ","(",H2292,")","-",N2292," ",M2292," ",I2293," ","(",H2293,")","-",N2293," ",M2293)</f>
        <v>Ремонт РУ10-0,4 кВ (Замена контактов предохранителя - 6 шт)-1 шт. Ремонт строительной части ТП, КТП (Окраска оборудования - 32 м2
Восстановление надписей - 30 букв)-1 шт.</v>
      </c>
      <c r="J2291" s="489" t="s">
        <v>366</v>
      </c>
      <c r="K2291" s="450">
        <v>44409</v>
      </c>
      <c r="L2291" s="450">
        <v>44439</v>
      </c>
      <c r="M2291" s="490"/>
      <c r="N2291" s="490"/>
    </row>
    <row r="2292" spans="1:14" hidden="1" outlineLevel="2">
      <c r="A2292" s="438"/>
      <c r="B2292" s="452" t="s">
        <v>298</v>
      </c>
      <c r="C2292" s="489" t="s">
        <v>2126</v>
      </c>
      <c r="D2292" s="454" t="s">
        <v>1830</v>
      </c>
      <c r="E2292" s="385"/>
      <c r="F2292" s="385"/>
      <c r="G2292" s="385"/>
      <c r="H2292" s="401" t="s">
        <v>2852</v>
      </c>
      <c r="I2292" s="385" t="s">
        <v>171</v>
      </c>
      <c r="J2292" s="489"/>
      <c r="K2292" s="450"/>
      <c r="L2292" s="450"/>
      <c r="M2292" s="490" t="s">
        <v>37</v>
      </c>
      <c r="N2292" s="490">
        <v>1</v>
      </c>
    </row>
    <row r="2293" spans="1:14" ht="40.5" hidden="1" outlineLevel="2">
      <c r="A2293" s="438"/>
      <c r="B2293" s="452" t="s">
        <v>298</v>
      </c>
      <c r="C2293" s="489" t="s">
        <v>2126</v>
      </c>
      <c r="D2293" s="454" t="s">
        <v>1830</v>
      </c>
      <c r="E2293" s="385"/>
      <c r="F2293" s="385"/>
      <c r="G2293" s="385"/>
      <c r="H2293" s="401" t="s">
        <v>2868</v>
      </c>
      <c r="I2293" s="385" t="s">
        <v>164</v>
      </c>
      <c r="J2293" s="489"/>
      <c r="K2293" s="450"/>
      <c r="L2293" s="450"/>
      <c r="M2293" s="490" t="s">
        <v>37</v>
      </c>
      <c r="N2293" s="490">
        <v>1</v>
      </c>
    </row>
    <row r="2294" spans="1:14" s="384" customFormat="1" ht="60.75" outlineLevel="1" collapsed="1">
      <c r="A2294" s="489" t="s">
        <v>1408</v>
      </c>
      <c r="B2294" s="452" t="s">
        <v>298</v>
      </c>
      <c r="C2294" s="398" t="s">
        <v>2126</v>
      </c>
      <c r="D2294" s="455" t="s">
        <v>1830</v>
      </c>
      <c r="E2294" s="490" t="s">
        <v>2869</v>
      </c>
      <c r="F2294" s="385" t="s">
        <v>2169</v>
      </c>
      <c r="G2294" s="385"/>
      <c r="H2294" s="401" t="s">
        <v>2870</v>
      </c>
      <c r="I2294" s="385" t="str">
        <f>CONCATENATE(I2295," ","(",H2295,")","-",N2295," ",M2295)</f>
        <v>Ремонт РУ10-0,4 кВ (Замена контактов предохранителя - 6 шт
Ремонт разъединителя - 1 шт)-1 шт.</v>
      </c>
      <c r="J2294" s="489" t="s">
        <v>366</v>
      </c>
      <c r="K2294" s="450">
        <v>44409</v>
      </c>
      <c r="L2294" s="450">
        <v>44439</v>
      </c>
      <c r="M2294" s="490"/>
      <c r="N2294" s="490"/>
    </row>
    <row r="2295" spans="1:14" ht="40.5" hidden="1" outlineLevel="2">
      <c r="A2295" s="438"/>
      <c r="B2295" s="452" t="s">
        <v>298</v>
      </c>
      <c r="C2295" s="489" t="s">
        <v>2126</v>
      </c>
      <c r="D2295" s="454" t="s">
        <v>1830</v>
      </c>
      <c r="E2295" s="385"/>
      <c r="F2295" s="385"/>
      <c r="G2295" s="385"/>
      <c r="H2295" s="401" t="s">
        <v>2865</v>
      </c>
      <c r="I2295" s="385" t="s">
        <v>171</v>
      </c>
      <c r="J2295" s="489"/>
      <c r="K2295" s="450"/>
      <c r="L2295" s="450"/>
      <c r="M2295" s="490" t="s">
        <v>37</v>
      </c>
      <c r="N2295" s="490">
        <v>1</v>
      </c>
    </row>
    <row r="2296" spans="1:14" s="384" customFormat="1" ht="40.5" outlineLevel="1" collapsed="1">
      <c r="A2296" s="489" t="s">
        <v>1409</v>
      </c>
      <c r="B2296" s="452" t="s">
        <v>298</v>
      </c>
      <c r="C2296" s="398" t="s">
        <v>2126</v>
      </c>
      <c r="D2296" s="455" t="s">
        <v>1830</v>
      </c>
      <c r="E2296" s="490" t="s">
        <v>2850</v>
      </c>
      <c r="F2296" s="385" t="s">
        <v>2169</v>
      </c>
      <c r="G2296" s="385"/>
      <c r="H2296" s="401" t="s">
        <v>2871</v>
      </c>
      <c r="I2296" s="385" t="str">
        <f>CONCATENATE(I2297," ","(",H2297,")","-",N2297," ",M2297)</f>
        <v>Ремонт РУ10-0,4 кВ (Замена рубильников на АВ - 3 шт)-1 шт.</v>
      </c>
      <c r="J2296" s="489" t="s">
        <v>365</v>
      </c>
      <c r="K2296" s="450">
        <v>44409</v>
      </c>
      <c r="L2296" s="450">
        <v>44439</v>
      </c>
      <c r="M2296" s="490"/>
      <c r="N2296" s="490"/>
    </row>
    <row r="2297" spans="1:14" hidden="1" outlineLevel="2">
      <c r="A2297" s="438"/>
      <c r="B2297" s="490" t="s">
        <v>298</v>
      </c>
      <c r="C2297" s="489" t="s">
        <v>2126</v>
      </c>
      <c r="D2297" s="454" t="s">
        <v>1961</v>
      </c>
      <c r="E2297" s="385"/>
      <c r="F2297" s="385"/>
      <c r="G2297" s="385"/>
      <c r="H2297" s="401" t="s">
        <v>2872</v>
      </c>
      <c r="I2297" s="385" t="s">
        <v>171</v>
      </c>
      <c r="J2297" s="489"/>
      <c r="K2297" s="450"/>
      <c r="L2297" s="450"/>
      <c r="M2297" s="490" t="s">
        <v>37</v>
      </c>
      <c r="N2297" s="490">
        <v>1</v>
      </c>
    </row>
    <row r="2298" spans="1:14" s="384" customFormat="1" ht="40.5" outlineLevel="1" collapsed="1">
      <c r="A2298" s="489" t="s">
        <v>1410</v>
      </c>
      <c r="B2298" s="452" t="s">
        <v>298</v>
      </c>
      <c r="C2298" s="398" t="s">
        <v>2126</v>
      </c>
      <c r="D2298" s="455" t="s">
        <v>1830</v>
      </c>
      <c r="E2298" s="385" t="s">
        <v>2873</v>
      </c>
      <c r="F2298" s="385" t="s">
        <v>2169</v>
      </c>
      <c r="G2298" s="385"/>
      <c r="H2298" s="401" t="s">
        <v>2874</v>
      </c>
      <c r="I2298" s="385" t="str">
        <f>CONCATENATE(I2299," ","(",H2299,")","-",N2299," ",M2299)</f>
        <v>Ремонт строительной части ТП, КТП (Ремонт освещения ТП)-1 шт.</v>
      </c>
      <c r="J2298" s="489" t="s">
        <v>366</v>
      </c>
      <c r="K2298" s="450">
        <v>44440</v>
      </c>
      <c r="L2298" s="450">
        <v>44469</v>
      </c>
      <c r="M2298" s="490"/>
      <c r="N2298" s="490"/>
    </row>
    <row r="2299" spans="1:14" hidden="1" outlineLevel="2">
      <c r="A2299" s="438"/>
      <c r="B2299" s="490" t="s">
        <v>298</v>
      </c>
      <c r="C2299" s="489" t="s">
        <v>2126</v>
      </c>
      <c r="D2299" s="454" t="s">
        <v>1961</v>
      </c>
      <c r="E2299" s="385"/>
      <c r="F2299" s="385"/>
      <c r="G2299" s="385"/>
      <c r="H2299" s="401" t="s">
        <v>2875</v>
      </c>
      <c r="I2299" s="385" t="s">
        <v>164</v>
      </c>
      <c r="J2299" s="489"/>
      <c r="K2299" s="450"/>
      <c r="L2299" s="450"/>
      <c r="M2299" s="490" t="s">
        <v>37</v>
      </c>
      <c r="N2299" s="490">
        <v>1</v>
      </c>
    </row>
    <row r="2300" spans="1:14" s="384" customFormat="1" ht="121.5" outlineLevel="1" collapsed="1">
      <c r="A2300" s="489" t="s">
        <v>1411</v>
      </c>
      <c r="B2300" s="452" t="s">
        <v>298</v>
      </c>
      <c r="C2300" s="398" t="s">
        <v>2126</v>
      </c>
      <c r="D2300" s="455" t="s">
        <v>1830</v>
      </c>
      <c r="E2300" s="385" t="s">
        <v>2876</v>
      </c>
      <c r="F2300" s="385" t="s">
        <v>2169</v>
      </c>
      <c r="G2300" s="385"/>
      <c r="H2300" s="401" t="s">
        <v>2877</v>
      </c>
      <c r="I2300" s="385" t="str">
        <f>CONCATENATE(I2301," ","(",H2301,")","-",N2301," ",M2301," ",I2302," ","(",H2302,")","-",N2302," ",M2302)</f>
        <v>Ремонт РУ10-0,4 кВ (Замена контактов предохранителя - 6 шт
Ремонт разъединителя - 1 шт)-1 шт. Ремонт строительной части ТП, КТП (Окраска оборудования - 28 м2
Восстановление надписей - 30 букв)-1 шт.</v>
      </c>
      <c r="J2300" s="489" t="s">
        <v>366</v>
      </c>
      <c r="K2300" s="450">
        <v>44409</v>
      </c>
      <c r="L2300" s="450">
        <v>44439</v>
      </c>
      <c r="M2300" s="490"/>
      <c r="N2300" s="490"/>
    </row>
    <row r="2301" spans="1:14" ht="40.5" hidden="1" outlineLevel="2">
      <c r="A2301" s="438"/>
      <c r="B2301" s="452" t="s">
        <v>298</v>
      </c>
      <c r="C2301" s="489" t="s">
        <v>2126</v>
      </c>
      <c r="D2301" s="454" t="s">
        <v>1830</v>
      </c>
      <c r="E2301" s="385"/>
      <c r="F2301" s="385"/>
      <c r="G2301" s="385"/>
      <c r="H2301" s="401" t="s">
        <v>2865</v>
      </c>
      <c r="I2301" s="385" t="s">
        <v>171</v>
      </c>
      <c r="J2301" s="489"/>
      <c r="K2301" s="450"/>
      <c r="L2301" s="450"/>
      <c r="M2301" s="490" t="s">
        <v>37</v>
      </c>
      <c r="N2301" s="490">
        <v>1</v>
      </c>
    </row>
    <row r="2302" spans="1:14" ht="40.5" hidden="1" outlineLevel="2">
      <c r="A2302" s="438"/>
      <c r="B2302" s="452" t="s">
        <v>298</v>
      </c>
      <c r="C2302" s="489" t="s">
        <v>2126</v>
      </c>
      <c r="D2302" s="454" t="s">
        <v>1830</v>
      </c>
      <c r="E2302" s="385"/>
      <c r="F2302" s="385"/>
      <c r="G2302" s="385"/>
      <c r="H2302" s="401" t="s">
        <v>2853</v>
      </c>
      <c r="I2302" s="385" t="s">
        <v>164</v>
      </c>
      <c r="J2302" s="489"/>
      <c r="K2302" s="450"/>
      <c r="L2302" s="450"/>
      <c r="M2302" s="490" t="s">
        <v>37</v>
      </c>
      <c r="N2302" s="490">
        <v>1</v>
      </c>
    </row>
    <row r="2303" spans="1:14" s="384" customFormat="1" ht="81" outlineLevel="1" collapsed="1">
      <c r="A2303" s="489" t="s">
        <v>1412</v>
      </c>
      <c r="B2303" s="452" t="s">
        <v>298</v>
      </c>
      <c r="C2303" s="398" t="s">
        <v>2126</v>
      </c>
      <c r="D2303" s="455" t="s">
        <v>1830</v>
      </c>
      <c r="E2303" s="385" t="s">
        <v>2878</v>
      </c>
      <c r="F2303" s="385" t="s">
        <v>2169</v>
      </c>
      <c r="G2303" s="385"/>
      <c r="H2303" s="401" t="s">
        <v>2879</v>
      </c>
      <c r="I2303" s="385" t="str">
        <f>CONCATENATE(I2304," ","(",H2304,")","-",N2304," ",M2304," ",I2305," ","(",H2305,")","-",N2305," ",M2305)</f>
        <v>Ремонт РУ10-0,4 кВ (Установка рубильника - 1 шт
Ремонт ВН - 1 шт)-1 шт. Ремонт строительной части ТП, КТП (Окраска оборудования - 28 м2
Восстановление надписей - 30 букв)-1 шт.</v>
      </c>
      <c r="J2303" s="489" t="s">
        <v>366</v>
      </c>
      <c r="K2303" s="450">
        <v>44440</v>
      </c>
      <c r="L2303" s="450">
        <v>44469</v>
      </c>
      <c r="M2303" s="490"/>
      <c r="N2303" s="490"/>
    </row>
    <row r="2304" spans="1:14" ht="40.5" hidden="1" outlineLevel="2">
      <c r="A2304" s="438"/>
      <c r="B2304" s="490" t="s">
        <v>298</v>
      </c>
      <c r="C2304" s="489" t="s">
        <v>2126</v>
      </c>
      <c r="D2304" s="454" t="s">
        <v>1961</v>
      </c>
      <c r="E2304" s="385"/>
      <c r="F2304" s="385"/>
      <c r="G2304" s="385"/>
      <c r="H2304" s="401" t="s">
        <v>2880</v>
      </c>
      <c r="I2304" s="385" t="s">
        <v>171</v>
      </c>
      <c r="J2304" s="489"/>
      <c r="K2304" s="450"/>
      <c r="L2304" s="450"/>
      <c r="M2304" s="490" t="s">
        <v>37</v>
      </c>
      <c r="N2304" s="490">
        <v>1</v>
      </c>
    </row>
    <row r="2305" spans="1:14" ht="40.5" hidden="1" outlineLevel="2">
      <c r="A2305" s="438"/>
      <c r="B2305" s="490" t="s">
        <v>298</v>
      </c>
      <c r="C2305" s="489" t="s">
        <v>2126</v>
      </c>
      <c r="D2305" s="454" t="s">
        <v>1961</v>
      </c>
      <c r="E2305" s="385"/>
      <c r="F2305" s="385"/>
      <c r="G2305" s="385"/>
      <c r="H2305" s="401" t="s">
        <v>2853</v>
      </c>
      <c r="I2305" s="385" t="s">
        <v>164</v>
      </c>
      <c r="J2305" s="489"/>
      <c r="K2305" s="450"/>
      <c r="L2305" s="450"/>
      <c r="M2305" s="490" t="s">
        <v>37</v>
      </c>
      <c r="N2305" s="490">
        <v>1</v>
      </c>
    </row>
    <row r="2306" spans="1:14" s="384" customFormat="1" ht="101.25" outlineLevel="1" collapsed="1">
      <c r="A2306" s="489" t="s">
        <v>1413</v>
      </c>
      <c r="B2306" s="452" t="s">
        <v>298</v>
      </c>
      <c r="C2306" s="398" t="s">
        <v>2126</v>
      </c>
      <c r="D2306" s="455" t="s">
        <v>1830</v>
      </c>
      <c r="E2306" s="385" t="s">
        <v>2881</v>
      </c>
      <c r="F2306" s="385" t="s">
        <v>2169</v>
      </c>
      <c r="G2306" s="385"/>
      <c r="H2306" s="401" t="s">
        <v>2882</v>
      </c>
      <c r="I2306" s="385" t="str">
        <f>CONCATENATE(I2307," ","(",H2307,")","-",N2307," ",M2307," ",I2308," ","(",H2308,")","-",N2308," ",M2308," ",I2309," ","(",H2309,")","-",N2309," ",M2309)</f>
        <v>Ремонт РУ10-0,4 кВ (Установка рубильника - 1 шт
Ремонт ВН -4 шт)-1 шт. Ремонт РУ10-0,4 кВ (Ремонт ВМГ-10 - 1 шт)-1 шт. Ремонт строительной части ТП, КТП (Окраска оборудования - 28 м2
Восстановление надписей - 50 букв)-1 шт.</v>
      </c>
      <c r="J2306" s="489" t="s">
        <v>365</v>
      </c>
      <c r="K2306" s="450">
        <v>44440</v>
      </c>
      <c r="L2306" s="450">
        <v>44469</v>
      </c>
      <c r="M2306" s="490"/>
      <c r="N2306" s="490"/>
    </row>
    <row r="2307" spans="1:14" ht="40.5" hidden="1" outlineLevel="2">
      <c r="A2307" s="438"/>
      <c r="B2307" s="452" t="s">
        <v>298</v>
      </c>
      <c r="C2307" s="489" t="s">
        <v>2126</v>
      </c>
      <c r="D2307" s="454" t="s">
        <v>1830</v>
      </c>
      <c r="E2307" s="385"/>
      <c r="F2307" s="385"/>
      <c r="G2307" s="385"/>
      <c r="H2307" s="401" t="s">
        <v>2883</v>
      </c>
      <c r="I2307" s="385" t="s">
        <v>171</v>
      </c>
      <c r="J2307" s="489"/>
      <c r="K2307" s="450"/>
      <c r="L2307" s="450"/>
      <c r="M2307" s="490" t="s">
        <v>37</v>
      </c>
      <c r="N2307" s="490">
        <v>1</v>
      </c>
    </row>
    <row r="2308" spans="1:14" hidden="1" outlineLevel="2">
      <c r="A2308" s="438"/>
      <c r="B2308" s="452" t="s">
        <v>298</v>
      </c>
      <c r="C2308" s="489" t="s">
        <v>2126</v>
      </c>
      <c r="D2308" s="454" t="s">
        <v>1830</v>
      </c>
      <c r="E2308" s="385"/>
      <c r="F2308" s="385"/>
      <c r="G2308" s="385"/>
      <c r="H2308" s="401" t="s">
        <v>2884</v>
      </c>
      <c r="I2308" s="385" t="s">
        <v>171</v>
      </c>
      <c r="J2308" s="489"/>
      <c r="K2308" s="450"/>
      <c r="L2308" s="450"/>
      <c r="M2308" s="490" t="s">
        <v>37</v>
      </c>
      <c r="N2308" s="490">
        <v>1</v>
      </c>
    </row>
    <row r="2309" spans="1:14" ht="40.5" hidden="1" outlineLevel="2">
      <c r="A2309" s="438"/>
      <c r="B2309" s="452" t="s">
        <v>298</v>
      </c>
      <c r="C2309" s="489" t="s">
        <v>2126</v>
      </c>
      <c r="D2309" s="454" t="s">
        <v>1830</v>
      </c>
      <c r="E2309" s="385"/>
      <c r="F2309" s="385"/>
      <c r="G2309" s="385"/>
      <c r="H2309" s="401" t="s">
        <v>2885</v>
      </c>
      <c r="I2309" s="385" t="s">
        <v>164</v>
      </c>
      <c r="J2309" s="489"/>
      <c r="K2309" s="450"/>
      <c r="L2309" s="450"/>
      <c r="M2309" s="490" t="s">
        <v>37</v>
      </c>
      <c r="N2309" s="490">
        <v>1</v>
      </c>
    </row>
    <row r="2310" spans="1:14" s="384" customFormat="1" ht="81" outlineLevel="1" collapsed="1">
      <c r="A2310" s="489" t="s">
        <v>1414</v>
      </c>
      <c r="B2310" s="452" t="s">
        <v>298</v>
      </c>
      <c r="C2310" s="398" t="s">
        <v>2126</v>
      </c>
      <c r="D2310" s="455" t="s">
        <v>1830</v>
      </c>
      <c r="E2310" s="385" t="s">
        <v>2886</v>
      </c>
      <c r="F2310" s="385" t="s">
        <v>2169</v>
      </c>
      <c r="G2310" s="385"/>
      <c r="H2310" s="401" t="s">
        <v>2887</v>
      </c>
      <c r="I2310" s="385" t="str">
        <f>CONCATENATE(I2311," ","(",H2311,")","-",N2311," ",M2311," ",I2312," ","(",H2312,")","-",N2312," ",M2312)</f>
        <v>Ремонт РУ10-0,4 кВ (Ремонт РВ - 2 шт
Замена контактов предохранителя - 12 шт
Замена рубильников на АВ - 8 шт)-1 шт. Ремонт РУ10-0,4 кВ (Ремонт ВН - 2 шт)-1 шт.</v>
      </c>
      <c r="J2310" s="489" t="s">
        <v>365</v>
      </c>
      <c r="K2310" s="450">
        <v>44440</v>
      </c>
      <c r="L2310" s="450">
        <v>44469</v>
      </c>
      <c r="M2310" s="490"/>
      <c r="N2310" s="490"/>
    </row>
    <row r="2311" spans="1:14" ht="60.75" hidden="1" outlineLevel="2">
      <c r="A2311" s="438"/>
      <c r="B2311" s="452" t="s">
        <v>298</v>
      </c>
      <c r="C2311" s="489" t="s">
        <v>2126</v>
      </c>
      <c r="D2311" s="454" t="s">
        <v>1830</v>
      </c>
      <c r="E2311" s="385"/>
      <c r="F2311" s="385"/>
      <c r="G2311" s="385"/>
      <c r="H2311" s="401" t="s">
        <v>2888</v>
      </c>
      <c r="I2311" s="385" t="s">
        <v>171</v>
      </c>
      <c r="J2311" s="489"/>
      <c r="K2311" s="450"/>
      <c r="L2311" s="450"/>
      <c r="M2311" s="490" t="s">
        <v>37</v>
      </c>
      <c r="N2311" s="490">
        <v>1</v>
      </c>
    </row>
    <row r="2312" spans="1:14" hidden="1" outlineLevel="2">
      <c r="A2312" s="438"/>
      <c r="B2312" s="452" t="s">
        <v>298</v>
      </c>
      <c r="C2312" s="489" t="s">
        <v>2126</v>
      </c>
      <c r="D2312" s="454" t="s">
        <v>1830</v>
      </c>
      <c r="E2312" s="385"/>
      <c r="F2312" s="385"/>
      <c r="G2312" s="385"/>
      <c r="H2312" s="401" t="s">
        <v>2889</v>
      </c>
      <c r="I2312" s="385" t="s">
        <v>171</v>
      </c>
      <c r="J2312" s="489"/>
      <c r="K2312" s="450"/>
      <c r="L2312" s="450"/>
      <c r="M2312" s="490" t="s">
        <v>37</v>
      </c>
      <c r="N2312" s="490">
        <v>1</v>
      </c>
    </row>
    <row r="2313" spans="1:14" s="384" customFormat="1" ht="40.5" outlineLevel="1" collapsed="1">
      <c r="A2313" s="489" t="s">
        <v>1415</v>
      </c>
      <c r="B2313" s="452" t="s">
        <v>298</v>
      </c>
      <c r="C2313" s="398" t="s">
        <v>2126</v>
      </c>
      <c r="D2313" s="455" t="s">
        <v>1830</v>
      </c>
      <c r="E2313" s="385" t="s">
        <v>2890</v>
      </c>
      <c r="F2313" s="385" t="s">
        <v>2169</v>
      </c>
      <c r="G2313" s="385"/>
      <c r="H2313" s="401" t="s">
        <v>2891</v>
      </c>
      <c r="I2313" s="385" t="str">
        <f>CONCATENATE(I2314," ","(",H2314,")","-",N2314," ",M2314)</f>
        <v>Ремонт РУ10-0,4 кВ (Замена опорных изоляторов - 63 шт)-1 шт.</v>
      </c>
      <c r="J2313" s="489" t="s">
        <v>365</v>
      </c>
      <c r="K2313" s="450">
        <v>44440</v>
      </c>
      <c r="L2313" s="450">
        <v>44469</v>
      </c>
      <c r="M2313" s="490"/>
      <c r="N2313" s="490"/>
    </row>
    <row r="2314" spans="1:14" hidden="1" outlineLevel="2">
      <c r="A2314" s="438"/>
      <c r="B2314" s="452" t="s">
        <v>298</v>
      </c>
      <c r="C2314" s="489" t="s">
        <v>2126</v>
      </c>
      <c r="D2314" s="454" t="s">
        <v>1830</v>
      </c>
      <c r="E2314" s="385"/>
      <c r="F2314" s="385"/>
      <c r="G2314" s="385"/>
      <c r="H2314" s="401" t="s">
        <v>2892</v>
      </c>
      <c r="I2314" s="385" t="s">
        <v>171</v>
      </c>
      <c r="J2314" s="489"/>
      <c r="K2314" s="450"/>
      <c r="L2314" s="450"/>
      <c r="M2314" s="490" t="s">
        <v>37</v>
      </c>
      <c r="N2314" s="490">
        <v>1</v>
      </c>
    </row>
    <row r="2315" spans="1:14" s="384" customFormat="1" ht="81" outlineLevel="1" collapsed="1">
      <c r="A2315" s="489" t="s">
        <v>1416</v>
      </c>
      <c r="B2315" s="452" t="s">
        <v>298</v>
      </c>
      <c r="C2315" s="398" t="s">
        <v>2126</v>
      </c>
      <c r="D2315" s="455" t="s">
        <v>1830</v>
      </c>
      <c r="E2315" s="385" t="s">
        <v>2893</v>
      </c>
      <c r="F2315" s="385" t="s">
        <v>2169</v>
      </c>
      <c r="G2315" s="385"/>
      <c r="H2315" s="401" t="s">
        <v>2894</v>
      </c>
      <c r="I2315" s="385" t="str">
        <f>CONCATENATE(I2316," ","(",H2316,")","-",N2316," ",M2316," ",I2317," ","(",H2317,")","-",N2317," ",M2317)</f>
        <v>Ремонт РУ10-0,4 кВ (Ремонт ВН -2 шт)-1 шт. Ремонт строительной части ТП, КТП (Окраска оборудования - 56 м2
Восстановление надписей - 10 букв)-1 шт.</v>
      </c>
      <c r="J2315" s="489" t="s">
        <v>365</v>
      </c>
      <c r="K2315" s="450">
        <v>44409</v>
      </c>
      <c r="L2315" s="450">
        <v>44439</v>
      </c>
      <c r="M2315" s="490"/>
      <c r="N2315" s="490"/>
    </row>
    <row r="2316" spans="1:14" hidden="1" outlineLevel="2">
      <c r="A2316" s="438"/>
      <c r="B2316" s="452" t="s">
        <v>298</v>
      </c>
      <c r="C2316" s="489" t="s">
        <v>2126</v>
      </c>
      <c r="D2316" s="454" t="s">
        <v>1830</v>
      </c>
      <c r="E2316" s="385"/>
      <c r="F2316" s="385"/>
      <c r="G2316" s="385"/>
      <c r="H2316" s="401" t="s">
        <v>2895</v>
      </c>
      <c r="I2316" s="385" t="s">
        <v>171</v>
      </c>
      <c r="J2316" s="489"/>
      <c r="K2316" s="450"/>
      <c r="L2316" s="450"/>
      <c r="M2316" s="490" t="s">
        <v>37</v>
      </c>
      <c r="N2316" s="490">
        <v>1</v>
      </c>
    </row>
    <row r="2317" spans="1:14" ht="40.5" hidden="1" outlineLevel="2">
      <c r="A2317" s="438"/>
      <c r="B2317" s="452" t="s">
        <v>298</v>
      </c>
      <c r="C2317" s="489" t="s">
        <v>2126</v>
      </c>
      <c r="D2317" s="454" t="s">
        <v>1830</v>
      </c>
      <c r="E2317" s="385"/>
      <c r="F2317" s="385"/>
      <c r="G2317" s="385"/>
      <c r="H2317" s="401" t="s">
        <v>2896</v>
      </c>
      <c r="I2317" s="385" t="s">
        <v>164</v>
      </c>
      <c r="J2317" s="489"/>
      <c r="K2317" s="450"/>
      <c r="L2317" s="450"/>
      <c r="M2317" s="490" t="s">
        <v>37</v>
      </c>
      <c r="N2317" s="490">
        <v>1</v>
      </c>
    </row>
    <row r="2318" spans="1:14" s="384" customFormat="1" ht="81" outlineLevel="1" collapsed="1">
      <c r="A2318" s="489" t="s">
        <v>1417</v>
      </c>
      <c r="B2318" s="452" t="s">
        <v>298</v>
      </c>
      <c r="C2318" s="398" t="s">
        <v>2126</v>
      </c>
      <c r="D2318" s="455" t="s">
        <v>1830</v>
      </c>
      <c r="E2318" s="385" t="s">
        <v>2897</v>
      </c>
      <c r="F2318" s="385" t="s">
        <v>2169</v>
      </c>
      <c r="G2318" s="385"/>
      <c r="H2318" s="401" t="s">
        <v>2898</v>
      </c>
      <c r="I2318" s="385" t="str">
        <f>CONCATENATE(I2319," ","(",H2319,")","-",N2319," ",M2319," ",I2320," ","(",H2320,")","-",N2320," ",M2320)</f>
        <v>Ремонт РУ10-0,4 кВ (Установка разрядников - 3 шт)-1 шт. Ремонт строительной части ТП, КТП (Окраска оборудования - 50 м2
Восстановление надписей - 100 букв)-1 шт.</v>
      </c>
      <c r="J2318" s="489" t="s">
        <v>366</v>
      </c>
      <c r="K2318" s="450">
        <v>44317</v>
      </c>
      <c r="L2318" s="450">
        <v>44347</v>
      </c>
      <c r="M2318" s="490"/>
      <c r="N2318" s="490"/>
    </row>
    <row r="2319" spans="1:14" hidden="1" outlineLevel="2">
      <c r="A2319" s="438"/>
      <c r="B2319" s="452" t="s">
        <v>298</v>
      </c>
      <c r="C2319" s="489" t="s">
        <v>2126</v>
      </c>
      <c r="D2319" s="454" t="s">
        <v>1830</v>
      </c>
      <c r="E2319" s="385"/>
      <c r="F2319" s="385"/>
      <c r="G2319" s="385"/>
      <c r="H2319" s="401" t="s">
        <v>2856</v>
      </c>
      <c r="I2319" s="385" t="s">
        <v>171</v>
      </c>
      <c r="J2319" s="489"/>
      <c r="K2319" s="450"/>
      <c r="L2319" s="450"/>
      <c r="M2319" s="490" t="s">
        <v>37</v>
      </c>
      <c r="N2319" s="490">
        <v>1</v>
      </c>
    </row>
    <row r="2320" spans="1:14" ht="40.5" hidden="1" outlineLevel="2">
      <c r="A2320" s="438"/>
      <c r="B2320" s="452" t="s">
        <v>298</v>
      </c>
      <c r="C2320" s="489" t="s">
        <v>2126</v>
      </c>
      <c r="D2320" s="454" t="s">
        <v>1830</v>
      </c>
      <c r="E2320" s="385"/>
      <c r="F2320" s="385"/>
      <c r="G2320" s="385"/>
      <c r="H2320" s="401" t="s">
        <v>2899</v>
      </c>
      <c r="I2320" s="385" t="s">
        <v>164</v>
      </c>
      <c r="J2320" s="489"/>
      <c r="K2320" s="450"/>
      <c r="L2320" s="450"/>
      <c r="M2320" s="490" t="s">
        <v>37</v>
      </c>
      <c r="N2320" s="490">
        <v>1</v>
      </c>
    </row>
    <row r="2321" spans="1:14" s="384" customFormat="1" ht="81" outlineLevel="1" collapsed="1">
      <c r="A2321" s="489" t="s">
        <v>1418</v>
      </c>
      <c r="B2321" s="452" t="s">
        <v>298</v>
      </c>
      <c r="C2321" s="398" t="s">
        <v>2126</v>
      </c>
      <c r="D2321" s="455" t="s">
        <v>1830</v>
      </c>
      <c r="E2321" s="385" t="s">
        <v>2900</v>
      </c>
      <c r="F2321" s="385" t="s">
        <v>2169</v>
      </c>
      <c r="G2321" s="385"/>
      <c r="H2321" s="401" t="s">
        <v>2901</v>
      </c>
      <c r="I2321" s="385" t="str">
        <f>CONCATENATE(I2322," ","(",H2322,")","-",N2322," ",M2322," ",I2323," ","(",H2323,")","-",N2323," ",M2323)</f>
        <v>Ремонт РУ10-0,4 кВ (Установка разрядников - 3 шт)-1 шт. Ремонт строительной части ТП, КТП (Окраска оборудования - 56 м2
Восстановление надписей - 100 букв)-1 шт.</v>
      </c>
      <c r="J2321" s="489" t="s">
        <v>366</v>
      </c>
      <c r="K2321" s="450">
        <v>44348</v>
      </c>
      <c r="L2321" s="450">
        <v>44377</v>
      </c>
      <c r="M2321" s="490"/>
      <c r="N2321" s="490"/>
    </row>
    <row r="2322" spans="1:14" hidden="1" outlineLevel="2">
      <c r="A2322" s="438"/>
      <c r="B2322" s="452" t="s">
        <v>298</v>
      </c>
      <c r="C2322" s="489" t="s">
        <v>2126</v>
      </c>
      <c r="D2322" s="454" t="s">
        <v>1830</v>
      </c>
      <c r="E2322" s="385"/>
      <c r="F2322" s="385"/>
      <c r="G2322" s="385"/>
      <c r="H2322" s="401" t="s">
        <v>2856</v>
      </c>
      <c r="I2322" s="385" t="s">
        <v>171</v>
      </c>
      <c r="J2322" s="489"/>
      <c r="K2322" s="450"/>
      <c r="L2322" s="450"/>
      <c r="M2322" s="490" t="s">
        <v>37</v>
      </c>
      <c r="N2322" s="490">
        <v>1</v>
      </c>
    </row>
    <row r="2323" spans="1:14" ht="40.5" hidden="1" outlineLevel="2">
      <c r="A2323" s="438"/>
      <c r="B2323" s="452" t="s">
        <v>298</v>
      </c>
      <c r="C2323" s="489" t="s">
        <v>2126</v>
      </c>
      <c r="D2323" s="454" t="s">
        <v>1830</v>
      </c>
      <c r="E2323" s="385"/>
      <c r="F2323" s="385"/>
      <c r="G2323" s="385"/>
      <c r="H2323" s="401" t="s">
        <v>2902</v>
      </c>
      <c r="I2323" s="385" t="s">
        <v>164</v>
      </c>
      <c r="J2323" s="489"/>
      <c r="K2323" s="450"/>
      <c r="L2323" s="450"/>
      <c r="M2323" s="490" t="s">
        <v>37</v>
      </c>
      <c r="N2323" s="490">
        <v>1</v>
      </c>
    </row>
    <row r="2324" spans="1:14" s="384" customFormat="1" ht="81" outlineLevel="1" collapsed="1">
      <c r="A2324" s="489" t="s">
        <v>1419</v>
      </c>
      <c r="B2324" s="452" t="s">
        <v>298</v>
      </c>
      <c r="C2324" s="398" t="s">
        <v>2126</v>
      </c>
      <c r="D2324" s="455" t="s">
        <v>1830</v>
      </c>
      <c r="E2324" s="385" t="s">
        <v>2903</v>
      </c>
      <c r="F2324" s="385" t="s">
        <v>2169</v>
      </c>
      <c r="G2324" s="385"/>
      <c r="H2324" s="401" t="s">
        <v>2904</v>
      </c>
      <c r="I2324" s="385" t="str">
        <f>CONCATENATE(I2325," ","(",H2325,")","-",N2325," ",M2325," ",I2326," ","(",H2326,")","-",N2326," ",M2326)</f>
        <v>Ремонт РУ10-0,4 кВ (Установка разрядников - 3 шт)-1 шт. Ремонт строительной части ТП, КТП (Окраска оборудования - 56 м2
Восстановление надписей - 100 букв)-1 шт.</v>
      </c>
      <c r="J2324" s="489" t="s">
        <v>366</v>
      </c>
      <c r="K2324" s="450">
        <v>44378</v>
      </c>
      <c r="L2324" s="450">
        <v>44408</v>
      </c>
      <c r="M2324" s="490"/>
      <c r="N2324" s="490"/>
    </row>
    <row r="2325" spans="1:14" ht="23.25" hidden="1" customHeight="1" outlineLevel="2">
      <c r="A2325" s="438"/>
      <c r="B2325" s="452" t="s">
        <v>298</v>
      </c>
      <c r="C2325" s="489" t="s">
        <v>2126</v>
      </c>
      <c r="D2325" s="454" t="s">
        <v>1830</v>
      </c>
      <c r="E2325" s="385"/>
      <c r="F2325" s="385"/>
      <c r="G2325" s="385"/>
      <c r="H2325" s="401" t="s">
        <v>2856</v>
      </c>
      <c r="I2325" s="385" t="s">
        <v>171</v>
      </c>
      <c r="J2325" s="489"/>
      <c r="K2325" s="450"/>
      <c r="L2325" s="450"/>
      <c r="M2325" s="490" t="s">
        <v>37</v>
      </c>
      <c r="N2325" s="490">
        <v>1</v>
      </c>
    </row>
    <row r="2326" spans="1:14" ht="40.5" hidden="1" outlineLevel="2">
      <c r="A2326" s="438"/>
      <c r="B2326" s="452" t="s">
        <v>298</v>
      </c>
      <c r="C2326" s="489" t="s">
        <v>2126</v>
      </c>
      <c r="D2326" s="454" t="s">
        <v>1830</v>
      </c>
      <c r="E2326" s="385"/>
      <c r="F2326" s="385"/>
      <c r="G2326" s="385"/>
      <c r="H2326" s="401" t="s">
        <v>2902</v>
      </c>
      <c r="I2326" s="385" t="s">
        <v>164</v>
      </c>
      <c r="J2326" s="489"/>
      <c r="K2326" s="450"/>
      <c r="L2326" s="450"/>
      <c r="M2326" s="490" t="s">
        <v>37</v>
      </c>
      <c r="N2326" s="490">
        <v>1</v>
      </c>
    </row>
    <row r="2327" spans="1:14" s="384" customFormat="1" ht="162" outlineLevel="1" collapsed="1">
      <c r="A2327" s="489" t="s">
        <v>1420</v>
      </c>
      <c r="B2327" s="452" t="s">
        <v>298</v>
      </c>
      <c r="C2327" s="455" t="s">
        <v>2168</v>
      </c>
      <c r="D2327" s="455" t="s">
        <v>1830</v>
      </c>
      <c r="E2327" s="385" t="s">
        <v>2905</v>
      </c>
      <c r="F2327" s="385" t="s">
        <v>2169</v>
      </c>
      <c r="G2327" s="385"/>
      <c r="H2327" s="401" t="s">
        <v>2906</v>
      </c>
      <c r="I2327" s="385" t="str">
        <f>CONCATENATE(I2328," ","(",H2328,")","-",N2328," ",M2328," ",I2329," ","(",H2329,")","-",N2329," ",M2329," ",I2330," ","(",H2330,")","-",N2330," ",M2330," ",I2331," ","(",H2331,")","-",N2331," ",M2331," ",I2332," ","(",H2332,")","-",N2332," ",M2332)</f>
        <v>Ремонт РУ10-0,4 кВ (Замена предохранителя - 3 шт
Ремонт разъединителя - 1 шт
Ремонт контура заземления - 6шт
Замена АВ - 1 шт)-1 шт. Ремонт строительной части ТП, КТП (Окраска оборудования - 30 м2
Восстановление надписей - 100 букв)-1 шт. Замена ТМ (320/6 на б/у  250/6)-1 шт. Переустройство КТПН ()-1 шт. Отсыпка КТПН ()-1 шт.</v>
      </c>
      <c r="J2327" s="489" t="s">
        <v>365</v>
      </c>
      <c r="K2327" s="450">
        <v>44378</v>
      </c>
      <c r="L2327" s="450">
        <v>44439</v>
      </c>
      <c r="M2327" s="490"/>
      <c r="N2327" s="490"/>
    </row>
    <row r="2328" spans="1:14" ht="54" hidden="1" customHeight="1" outlineLevel="2">
      <c r="A2328" s="438"/>
      <c r="B2328" s="452" t="s">
        <v>298</v>
      </c>
      <c r="C2328" s="489" t="s">
        <v>2168</v>
      </c>
      <c r="D2328" s="454" t="s">
        <v>1830</v>
      </c>
      <c r="E2328" s="385"/>
      <c r="F2328" s="385"/>
      <c r="G2328" s="385"/>
      <c r="H2328" s="401" t="s">
        <v>2907</v>
      </c>
      <c r="I2328" s="385" t="s">
        <v>171</v>
      </c>
      <c r="J2328" s="489"/>
      <c r="K2328" s="450"/>
      <c r="L2328" s="450"/>
      <c r="M2328" s="490" t="s">
        <v>37</v>
      </c>
      <c r="N2328" s="490">
        <v>1</v>
      </c>
    </row>
    <row r="2329" spans="1:14" ht="45.75" hidden="1" customHeight="1" outlineLevel="2">
      <c r="A2329" s="438"/>
      <c r="B2329" s="452" t="s">
        <v>298</v>
      </c>
      <c r="C2329" s="489" t="s">
        <v>2168</v>
      </c>
      <c r="D2329" s="454" t="s">
        <v>1830</v>
      </c>
      <c r="E2329" s="385"/>
      <c r="F2329" s="385"/>
      <c r="G2329" s="385"/>
      <c r="H2329" s="401" t="s">
        <v>2908</v>
      </c>
      <c r="I2329" s="385" t="s">
        <v>164</v>
      </c>
      <c r="J2329" s="489"/>
      <c r="K2329" s="450"/>
      <c r="L2329" s="450"/>
      <c r="M2329" s="490" t="s">
        <v>37</v>
      </c>
      <c r="N2329" s="490">
        <v>1</v>
      </c>
    </row>
    <row r="2330" spans="1:14" hidden="1" outlineLevel="2">
      <c r="A2330" s="438"/>
      <c r="B2330" s="452" t="s">
        <v>298</v>
      </c>
      <c r="C2330" s="489" t="s">
        <v>2168</v>
      </c>
      <c r="D2330" s="454" t="s">
        <v>1830</v>
      </c>
      <c r="E2330" s="385"/>
      <c r="F2330" s="385"/>
      <c r="G2330" s="385"/>
      <c r="H2330" s="401" t="s">
        <v>3590</v>
      </c>
      <c r="I2330" s="385" t="s">
        <v>161</v>
      </c>
      <c r="J2330" s="489"/>
      <c r="K2330" s="450"/>
      <c r="L2330" s="450"/>
      <c r="M2330" s="490" t="s">
        <v>37</v>
      </c>
      <c r="N2330" s="490">
        <v>1</v>
      </c>
    </row>
    <row r="2331" spans="1:14" hidden="1" outlineLevel="2">
      <c r="A2331" s="438"/>
      <c r="B2331" s="452" t="s">
        <v>298</v>
      </c>
      <c r="C2331" s="489" t="s">
        <v>2168</v>
      </c>
      <c r="D2331" s="454" t="s">
        <v>1830</v>
      </c>
      <c r="E2331" s="385"/>
      <c r="F2331" s="385"/>
      <c r="G2331" s="385"/>
      <c r="H2331" s="401"/>
      <c r="I2331" s="385" t="s">
        <v>3591</v>
      </c>
      <c r="J2331" s="489"/>
      <c r="K2331" s="450"/>
      <c r="L2331" s="450"/>
      <c r="M2331" s="490" t="s">
        <v>37</v>
      </c>
      <c r="N2331" s="490">
        <v>1</v>
      </c>
    </row>
    <row r="2332" spans="1:14" hidden="1" outlineLevel="2">
      <c r="A2332" s="438"/>
      <c r="B2332" s="452" t="s">
        <v>298</v>
      </c>
      <c r="C2332" s="489" t="s">
        <v>2168</v>
      </c>
      <c r="D2332" s="454" t="s">
        <v>1830</v>
      </c>
      <c r="E2332" s="385"/>
      <c r="F2332" s="385"/>
      <c r="G2332" s="385"/>
      <c r="H2332" s="401"/>
      <c r="I2332" s="385" t="s">
        <v>3592</v>
      </c>
      <c r="J2332" s="489"/>
      <c r="K2332" s="450"/>
      <c r="L2332" s="450"/>
      <c r="M2332" s="490" t="s">
        <v>37</v>
      </c>
      <c r="N2332" s="490">
        <v>1</v>
      </c>
    </row>
    <row r="2333" spans="1:14" s="384" customFormat="1" ht="60.75" outlineLevel="1" collapsed="1">
      <c r="A2333" s="489" t="s">
        <v>1421</v>
      </c>
      <c r="B2333" s="452" t="s">
        <v>298</v>
      </c>
      <c r="C2333" s="455" t="s">
        <v>2168</v>
      </c>
      <c r="D2333" s="455" t="s">
        <v>1830</v>
      </c>
      <c r="E2333" s="385" t="s">
        <v>2909</v>
      </c>
      <c r="F2333" s="385" t="s">
        <v>2169</v>
      </c>
      <c r="G2333" s="385"/>
      <c r="H2333" s="401" t="s">
        <v>2910</v>
      </c>
      <c r="I2333" s="385" t="str">
        <f>CONCATENATE(I2334," ","(",H2334,")","-",N2334," ",M2334," ",I2335," ","(",H2335,")","-",N2335," ",M2335)</f>
        <v>Ремонт РУ10-0,4 кВ (Ремонт контура заземления - 6шт)-1 шт. Ремонт строительной части ТП, КТП (Окраска оборудования - 1,4 м2)-1 шт.</v>
      </c>
      <c r="J2333" s="489" t="s">
        <v>366</v>
      </c>
      <c r="K2333" s="450">
        <v>44348</v>
      </c>
      <c r="L2333" s="450">
        <v>44377</v>
      </c>
      <c r="M2333" s="490"/>
      <c r="N2333" s="490"/>
    </row>
    <row r="2334" spans="1:14" hidden="1" outlineLevel="2">
      <c r="A2334" s="438"/>
      <c r="B2334" s="452" t="s">
        <v>298</v>
      </c>
      <c r="C2334" s="489" t="s">
        <v>2168</v>
      </c>
      <c r="D2334" s="454" t="s">
        <v>1830</v>
      </c>
      <c r="E2334" s="385"/>
      <c r="F2334" s="385"/>
      <c r="G2334" s="385"/>
      <c r="H2334" s="401" t="s">
        <v>2911</v>
      </c>
      <c r="I2334" s="385" t="s">
        <v>171</v>
      </c>
      <c r="J2334" s="489"/>
      <c r="K2334" s="450"/>
      <c r="L2334" s="450"/>
      <c r="M2334" s="490" t="s">
        <v>37</v>
      </c>
      <c r="N2334" s="490">
        <v>1</v>
      </c>
    </row>
    <row r="2335" spans="1:14" hidden="1" outlineLevel="2">
      <c r="A2335" s="438"/>
      <c r="B2335" s="452" t="s">
        <v>298</v>
      </c>
      <c r="C2335" s="489" t="s">
        <v>2168</v>
      </c>
      <c r="D2335" s="454" t="s">
        <v>1830</v>
      </c>
      <c r="E2335" s="385"/>
      <c r="F2335" s="385"/>
      <c r="G2335" s="385"/>
      <c r="H2335" s="401" t="s">
        <v>2912</v>
      </c>
      <c r="I2335" s="385" t="s">
        <v>164</v>
      </c>
      <c r="J2335" s="489"/>
      <c r="K2335" s="450"/>
      <c r="L2335" s="450"/>
      <c r="M2335" s="490" t="s">
        <v>37</v>
      </c>
      <c r="N2335" s="490">
        <v>1</v>
      </c>
    </row>
    <row r="2336" spans="1:14" s="384" customFormat="1" ht="40.5" outlineLevel="1" collapsed="1">
      <c r="A2336" s="489" t="s">
        <v>1422</v>
      </c>
      <c r="B2336" s="452" t="s">
        <v>298</v>
      </c>
      <c r="C2336" s="455" t="s">
        <v>698</v>
      </c>
      <c r="D2336" s="455" t="s">
        <v>1830</v>
      </c>
      <c r="E2336" s="385" t="s">
        <v>2913</v>
      </c>
      <c r="F2336" s="385" t="s">
        <v>303</v>
      </c>
      <c r="G2336" s="385"/>
      <c r="H2336" s="401" t="s">
        <v>2914</v>
      </c>
      <c r="I2336" s="385" t="str">
        <f>CONCATENATE(I2337," ","(",H2337,")","-",N2337," ",M22966)</f>
        <v xml:space="preserve">Капитальный ремонт ТМ (ТМ-63/10: 1Т)-1 </v>
      </c>
      <c r="J2336" s="489" t="s">
        <v>365</v>
      </c>
      <c r="K2336" s="450">
        <v>44440</v>
      </c>
      <c r="L2336" s="450">
        <v>44469</v>
      </c>
      <c r="M2336" s="490"/>
      <c r="N2336" s="490"/>
    </row>
    <row r="2337" spans="1:14" hidden="1" outlineLevel="2">
      <c r="A2337" s="438"/>
      <c r="B2337" s="452" t="s">
        <v>298</v>
      </c>
      <c r="C2337" s="489" t="s">
        <v>698</v>
      </c>
      <c r="D2337" s="454" t="s">
        <v>1830</v>
      </c>
      <c r="E2337" s="385"/>
      <c r="F2337" s="385"/>
      <c r="G2337" s="385"/>
      <c r="H2337" s="401" t="s">
        <v>2915</v>
      </c>
      <c r="I2337" s="385" t="s">
        <v>1178</v>
      </c>
      <c r="J2337" s="489"/>
      <c r="K2337" s="450"/>
      <c r="L2337" s="450"/>
      <c r="M2337" s="490" t="s">
        <v>37</v>
      </c>
      <c r="N2337" s="490">
        <v>1</v>
      </c>
    </row>
    <row r="2338" spans="1:14" s="384" customFormat="1" ht="40.5" outlineLevel="1" collapsed="1">
      <c r="A2338" s="489" t="s">
        <v>1423</v>
      </c>
      <c r="B2338" s="452" t="s">
        <v>298</v>
      </c>
      <c r="C2338" s="455" t="s">
        <v>698</v>
      </c>
      <c r="D2338" s="455" t="s">
        <v>1830</v>
      </c>
      <c r="E2338" s="385" t="s">
        <v>2916</v>
      </c>
      <c r="F2338" s="385" t="s">
        <v>303</v>
      </c>
      <c r="G2338" s="385"/>
      <c r="H2338" s="401" t="s">
        <v>2917</v>
      </c>
      <c r="I2338" s="385" t="str">
        <f>CONCATENATE(I2339," ","(",H2339,")","-",N2339," ",M22971)</f>
        <v xml:space="preserve">Капитальный ремонт ТМ (ТМ-400/6: 1Т)-1 </v>
      </c>
      <c r="J2338" s="489" t="s">
        <v>365</v>
      </c>
      <c r="K2338" s="450">
        <v>44470</v>
      </c>
      <c r="L2338" s="450">
        <v>44500</v>
      </c>
      <c r="M2338" s="490"/>
      <c r="N2338" s="490"/>
    </row>
    <row r="2339" spans="1:14" hidden="1" outlineLevel="2">
      <c r="A2339" s="438"/>
      <c r="B2339" s="452" t="s">
        <v>298</v>
      </c>
      <c r="C2339" s="489" t="s">
        <v>698</v>
      </c>
      <c r="D2339" s="454" t="s">
        <v>1830</v>
      </c>
      <c r="E2339" s="385"/>
      <c r="F2339" s="385"/>
      <c r="G2339" s="385"/>
      <c r="H2339" s="401" t="s">
        <v>2918</v>
      </c>
      <c r="I2339" s="385" t="s">
        <v>1178</v>
      </c>
      <c r="J2339" s="489"/>
      <c r="K2339" s="450"/>
      <c r="L2339" s="450"/>
      <c r="M2339" s="490" t="s">
        <v>37</v>
      </c>
      <c r="N2339" s="490">
        <v>1</v>
      </c>
    </row>
    <row r="2340" spans="1:14" s="384" customFormat="1" ht="40.5" outlineLevel="1" collapsed="1">
      <c r="A2340" s="489" t="s">
        <v>1424</v>
      </c>
      <c r="B2340" s="452" t="s">
        <v>298</v>
      </c>
      <c r="C2340" s="455" t="s">
        <v>698</v>
      </c>
      <c r="D2340" s="455" t="s">
        <v>1830</v>
      </c>
      <c r="E2340" s="385" t="s">
        <v>2919</v>
      </c>
      <c r="F2340" s="385" t="s">
        <v>303</v>
      </c>
      <c r="G2340" s="385"/>
      <c r="H2340" s="401" t="s">
        <v>2920</v>
      </c>
      <c r="I2340" s="385" t="str">
        <f>CONCATENATE(I2341," ","(",H2341,")","-",N2341," ",M22976)</f>
        <v xml:space="preserve">Капитальный ремонт ТМ (ТМ-400/6)-1 </v>
      </c>
      <c r="J2340" s="489" t="s">
        <v>365</v>
      </c>
      <c r="K2340" s="450">
        <v>44317</v>
      </c>
      <c r="L2340" s="450">
        <v>44347</v>
      </c>
      <c r="M2340" s="490"/>
      <c r="N2340" s="490"/>
    </row>
    <row r="2341" spans="1:14" hidden="1" outlineLevel="2">
      <c r="A2341" s="438"/>
      <c r="B2341" s="452" t="s">
        <v>298</v>
      </c>
      <c r="C2341" s="489" t="s">
        <v>698</v>
      </c>
      <c r="D2341" s="454" t="s">
        <v>1830</v>
      </c>
      <c r="E2341" s="385"/>
      <c r="F2341" s="385"/>
      <c r="G2341" s="385"/>
      <c r="H2341" s="401" t="s">
        <v>2921</v>
      </c>
      <c r="I2341" s="385" t="s">
        <v>1178</v>
      </c>
      <c r="J2341" s="489"/>
      <c r="K2341" s="450"/>
      <c r="L2341" s="450"/>
      <c r="M2341" s="490" t="s">
        <v>37</v>
      </c>
      <c r="N2341" s="490">
        <v>1</v>
      </c>
    </row>
    <row r="2342" spans="1:14" s="384" customFormat="1" ht="40.5" outlineLevel="1" collapsed="1">
      <c r="A2342" s="489" t="s">
        <v>1425</v>
      </c>
      <c r="B2342" s="452" t="s">
        <v>298</v>
      </c>
      <c r="C2342" s="455" t="s">
        <v>698</v>
      </c>
      <c r="D2342" s="455" t="s">
        <v>1830</v>
      </c>
      <c r="E2342" s="385" t="s">
        <v>2922</v>
      </c>
      <c r="F2342" s="385" t="s">
        <v>303</v>
      </c>
      <c r="G2342" s="385"/>
      <c r="H2342" s="401" t="s">
        <v>2923</v>
      </c>
      <c r="I2342" s="385" t="str">
        <f>CONCATENATE(I2343," ","(",H2343,")","-",N2343," ",M22981)</f>
        <v xml:space="preserve">Капитальный ремонт ТМ (ТМ-630/6: 1Т)-1 </v>
      </c>
      <c r="J2342" s="489" t="s">
        <v>365</v>
      </c>
      <c r="K2342" s="450">
        <v>44531</v>
      </c>
      <c r="L2342" s="450">
        <v>44561</v>
      </c>
      <c r="M2342" s="490"/>
      <c r="N2342" s="490"/>
    </row>
    <row r="2343" spans="1:14" hidden="1" outlineLevel="2">
      <c r="A2343" s="438"/>
      <c r="B2343" s="452" t="s">
        <v>298</v>
      </c>
      <c r="C2343" s="489" t="s">
        <v>698</v>
      </c>
      <c r="D2343" s="454" t="s">
        <v>1830</v>
      </c>
      <c r="E2343" s="385"/>
      <c r="F2343" s="385"/>
      <c r="G2343" s="385"/>
      <c r="H2343" s="401" t="s">
        <v>2924</v>
      </c>
      <c r="I2343" s="385" t="s">
        <v>1178</v>
      </c>
      <c r="J2343" s="489"/>
      <c r="K2343" s="450"/>
      <c r="L2343" s="450"/>
      <c r="M2343" s="490" t="s">
        <v>37</v>
      </c>
      <c r="N2343" s="490">
        <v>1</v>
      </c>
    </row>
    <row r="2344" spans="1:14" s="384" customFormat="1" ht="40.5" outlineLevel="1" collapsed="1">
      <c r="A2344" s="489" t="s">
        <v>1426</v>
      </c>
      <c r="B2344" s="452" t="s">
        <v>298</v>
      </c>
      <c r="C2344" s="455" t="s">
        <v>698</v>
      </c>
      <c r="D2344" s="455" t="s">
        <v>1830</v>
      </c>
      <c r="E2344" s="385" t="s">
        <v>2926</v>
      </c>
      <c r="F2344" s="385" t="s">
        <v>303</v>
      </c>
      <c r="G2344" s="385"/>
      <c r="H2344" s="401" t="s">
        <v>2927</v>
      </c>
      <c r="I2344" s="385" t="str">
        <f>CONCATENATE(I2345," ","(",H2345,")","-",N2345," ",M22986)</f>
        <v xml:space="preserve">Капитальный ремонт ТМ (ТМ-630/6: 2Т)-1 </v>
      </c>
      <c r="J2344" s="489" t="s">
        <v>365</v>
      </c>
      <c r="K2344" s="450">
        <v>44287</v>
      </c>
      <c r="L2344" s="450">
        <v>44316</v>
      </c>
      <c r="M2344" s="490"/>
      <c r="N2344" s="490"/>
    </row>
    <row r="2345" spans="1:14" hidden="1" outlineLevel="2">
      <c r="A2345" s="438"/>
      <c r="B2345" s="452" t="s">
        <v>298</v>
      </c>
      <c r="C2345" s="489" t="s">
        <v>698</v>
      </c>
      <c r="D2345" s="454" t="s">
        <v>1830</v>
      </c>
      <c r="E2345" s="385"/>
      <c r="F2345" s="385"/>
      <c r="G2345" s="385"/>
      <c r="H2345" s="401" t="s">
        <v>2928</v>
      </c>
      <c r="I2345" s="385" t="s">
        <v>1178</v>
      </c>
      <c r="J2345" s="489"/>
      <c r="K2345" s="450"/>
      <c r="L2345" s="450"/>
      <c r="M2345" s="490" t="s">
        <v>37</v>
      </c>
      <c r="N2345" s="490">
        <v>1</v>
      </c>
    </row>
    <row r="2346" spans="1:14" s="384" customFormat="1" ht="48" customHeight="1" outlineLevel="1" collapsed="1">
      <c r="A2346" s="489" t="s">
        <v>1427</v>
      </c>
      <c r="B2346" s="452" t="s">
        <v>298</v>
      </c>
      <c r="C2346" s="455" t="s">
        <v>698</v>
      </c>
      <c r="D2346" s="455" t="s">
        <v>1830</v>
      </c>
      <c r="E2346" s="385" t="s">
        <v>2930</v>
      </c>
      <c r="F2346" s="385" t="s">
        <v>303</v>
      </c>
      <c r="G2346" s="385"/>
      <c r="H2346" s="401" t="s">
        <v>2931</v>
      </c>
      <c r="I2346" s="385" t="str">
        <f>CONCATENATE(I2347," ","(",H2347,")","-",N2347," ",M22991)</f>
        <v xml:space="preserve">Капитальный ремонт ТМ (ТМ-630/6: 1Т)-1 </v>
      </c>
      <c r="J2346" s="489" t="s">
        <v>365</v>
      </c>
      <c r="K2346" s="450">
        <v>44409</v>
      </c>
      <c r="L2346" s="450">
        <v>44439</v>
      </c>
      <c r="M2346" s="490"/>
      <c r="N2346" s="490"/>
    </row>
    <row r="2347" spans="1:14" hidden="1" outlineLevel="2">
      <c r="A2347" s="438"/>
      <c r="B2347" s="452" t="s">
        <v>298</v>
      </c>
      <c r="C2347" s="489" t="s">
        <v>698</v>
      </c>
      <c r="D2347" s="454" t="s">
        <v>1830</v>
      </c>
      <c r="E2347" s="385"/>
      <c r="F2347" s="385"/>
      <c r="G2347" s="385"/>
      <c r="H2347" s="401" t="s">
        <v>2924</v>
      </c>
      <c r="I2347" s="385" t="s">
        <v>1178</v>
      </c>
      <c r="J2347" s="489"/>
      <c r="K2347" s="450"/>
      <c r="L2347" s="450"/>
      <c r="M2347" s="490" t="s">
        <v>37</v>
      </c>
      <c r="N2347" s="490">
        <v>1</v>
      </c>
    </row>
    <row r="2348" spans="1:14" s="384" customFormat="1" ht="40.5" outlineLevel="1" collapsed="1">
      <c r="A2348" s="489" t="s">
        <v>2925</v>
      </c>
      <c r="B2348" s="452" t="s">
        <v>298</v>
      </c>
      <c r="C2348" s="455" t="s">
        <v>698</v>
      </c>
      <c r="D2348" s="455" t="s">
        <v>1830</v>
      </c>
      <c r="E2348" s="385" t="s">
        <v>2933</v>
      </c>
      <c r="F2348" s="385" t="s">
        <v>303</v>
      </c>
      <c r="G2348" s="385"/>
      <c r="H2348" s="401" t="s">
        <v>2934</v>
      </c>
      <c r="I2348" s="385" t="str">
        <f>CONCATENATE(I2349," ","(",H2349,")","-",N2349," ",M22996)</f>
        <v xml:space="preserve">Капитальный ремонт ТМ (ТМ-630/6: 1Т)-1 </v>
      </c>
      <c r="J2348" s="489" t="s">
        <v>365</v>
      </c>
      <c r="K2348" s="450">
        <v>44409</v>
      </c>
      <c r="L2348" s="450">
        <v>44439</v>
      </c>
      <c r="M2348" s="490"/>
      <c r="N2348" s="490"/>
    </row>
    <row r="2349" spans="1:14" hidden="1" outlineLevel="2">
      <c r="A2349" s="438"/>
      <c r="B2349" s="452" t="s">
        <v>298</v>
      </c>
      <c r="C2349" s="489" t="s">
        <v>698</v>
      </c>
      <c r="D2349" s="454" t="s">
        <v>1830</v>
      </c>
      <c r="E2349" s="385"/>
      <c r="F2349" s="385"/>
      <c r="G2349" s="385"/>
      <c r="H2349" s="401" t="s">
        <v>2924</v>
      </c>
      <c r="I2349" s="385" t="s">
        <v>1178</v>
      </c>
      <c r="J2349" s="489"/>
      <c r="K2349" s="450"/>
      <c r="L2349" s="450"/>
      <c r="M2349" s="490" t="s">
        <v>37</v>
      </c>
      <c r="N2349" s="490">
        <v>1</v>
      </c>
    </row>
    <row r="2350" spans="1:14" s="384" customFormat="1" ht="40.5" outlineLevel="1" collapsed="1">
      <c r="A2350" s="489" t="s">
        <v>2929</v>
      </c>
      <c r="B2350" s="452" t="s">
        <v>298</v>
      </c>
      <c r="C2350" s="455" t="s">
        <v>698</v>
      </c>
      <c r="D2350" s="455" t="s">
        <v>1830</v>
      </c>
      <c r="E2350" s="385" t="s">
        <v>2936</v>
      </c>
      <c r="F2350" s="385" t="s">
        <v>303</v>
      </c>
      <c r="G2350" s="385"/>
      <c r="H2350" s="401" t="s">
        <v>2934</v>
      </c>
      <c r="I2350" s="385" t="str">
        <f>CONCATENATE(I2351," ","(",H2351,")","-",N2351," ",M23001)</f>
        <v xml:space="preserve">Капитальный ремонт ТМ (ТМ-630/6: 2Т)-1 </v>
      </c>
      <c r="J2350" s="489" t="s">
        <v>365</v>
      </c>
      <c r="K2350" s="450">
        <v>44501</v>
      </c>
      <c r="L2350" s="450">
        <v>44530</v>
      </c>
      <c r="M2350" s="490"/>
      <c r="N2350" s="490"/>
    </row>
    <row r="2351" spans="1:14" hidden="1" outlineLevel="2">
      <c r="A2351" s="438"/>
      <c r="B2351" s="452" t="s">
        <v>298</v>
      </c>
      <c r="C2351" s="489" t="s">
        <v>698</v>
      </c>
      <c r="D2351" s="454" t="s">
        <v>1830</v>
      </c>
      <c r="E2351" s="385"/>
      <c r="F2351" s="385"/>
      <c r="G2351" s="385"/>
      <c r="H2351" s="401" t="s">
        <v>2928</v>
      </c>
      <c r="I2351" s="385" t="s">
        <v>1178</v>
      </c>
      <c r="J2351" s="489"/>
      <c r="K2351" s="450"/>
      <c r="L2351" s="450"/>
      <c r="M2351" s="490" t="s">
        <v>37</v>
      </c>
      <c r="N2351" s="490">
        <v>1</v>
      </c>
    </row>
    <row r="2352" spans="1:14" s="384" customFormat="1" ht="40.5" outlineLevel="1" collapsed="1">
      <c r="A2352" s="489" t="s">
        <v>2932</v>
      </c>
      <c r="B2352" s="452" t="s">
        <v>298</v>
      </c>
      <c r="C2352" s="455" t="s">
        <v>698</v>
      </c>
      <c r="D2352" s="455" t="s">
        <v>1830</v>
      </c>
      <c r="E2352" s="385" t="s">
        <v>2938</v>
      </c>
      <c r="F2352" s="385" t="s">
        <v>303</v>
      </c>
      <c r="G2352" s="385"/>
      <c r="H2352" s="401" t="s">
        <v>2939</v>
      </c>
      <c r="I2352" s="385" t="str">
        <f>CONCATENATE(I2353," ","(",H2353,")","-",N2353," ",M23006)</f>
        <v xml:space="preserve">Капитальный ремонт ТМ (ТМ-630/6: 1Т)-1 </v>
      </c>
      <c r="J2352" s="489" t="s">
        <v>365</v>
      </c>
      <c r="K2352" s="450">
        <v>44348</v>
      </c>
      <c r="L2352" s="450">
        <v>44377</v>
      </c>
      <c r="M2352" s="490"/>
      <c r="N2352" s="490"/>
    </row>
    <row r="2353" spans="1:14" hidden="1" outlineLevel="2">
      <c r="A2353" s="438"/>
      <c r="B2353" s="452" t="s">
        <v>298</v>
      </c>
      <c r="C2353" s="489" t="s">
        <v>698</v>
      </c>
      <c r="D2353" s="454" t="s">
        <v>1830</v>
      </c>
      <c r="E2353" s="385"/>
      <c r="F2353" s="385"/>
      <c r="G2353" s="385"/>
      <c r="H2353" s="401" t="s">
        <v>2924</v>
      </c>
      <c r="I2353" s="385" t="s">
        <v>1178</v>
      </c>
      <c r="J2353" s="489"/>
      <c r="K2353" s="450"/>
      <c r="L2353" s="450"/>
      <c r="M2353" s="490" t="s">
        <v>37</v>
      </c>
      <c r="N2353" s="490">
        <v>1</v>
      </c>
    </row>
    <row r="2354" spans="1:14" s="384" customFormat="1" ht="40.5" outlineLevel="1" collapsed="1">
      <c r="A2354" s="489" t="s">
        <v>2935</v>
      </c>
      <c r="B2354" s="452" t="s">
        <v>298</v>
      </c>
      <c r="C2354" s="455" t="s">
        <v>698</v>
      </c>
      <c r="D2354" s="455" t="s">
        <v>1830</v>
      </c>
      <c r="E2354" s="385" t="s">
        <v>2941</v>
      </c>
      <c r="F2354" s="385" t="s">
        <v>303</v>
      </c>
      <c r="G2354" s="385"/>
      <c r="H2354" s="401" t="s">
        <v>2942</v>
      </c>
      <c r="I2354" s="385" t="str">
        <f>CONCATENATE(I2355," ","(",H2355,")","-",N2355," ",M23011)</f>
        <v xml:space="preserve">Капитальный ремонт ТМ (ТМ-630/6: 1Т)-1 </v>
      </c>
      <c r="J2354" s="489" t="s">
        <v>365</v>
      </c>
      <c r="K2354" s="450">
        <v>44378</v>
      </c>
      <c r="L2354" s="450">
        <v>44408</v>
      </c>
      <c r="M2354" s="490"/>
      <c r="N2354" s="490"/>
    </row>
    <row r="2355" spans="1:14" hidden="1" outlineLevel="2">
      <c r="A2355" s="438"/>
      <c r="B2355" s="452" t="s">
        <v>298</v>
      </c>
      <c r="C2355" s="489" t="s">
        <v>698</v>
      </c>
      <c r="D2355" s="454" t="s">
        <v>1830</v>
      </c>
      <c r="E2355" s="385"/>
      <c r="F2355" s="385"/>
      <c r="G2355" s="385"/>
      <c r="H2355" s="401" t="s">
        <v>2924</v>
      </c>
      <c r="I2355" s="385" t="s">
        <v>1178</v>
      </c>
      <c r="J2355" s="489"/>
      <c r="K2355" s="450"/>
      <c r="L2355" s="450"/>
      <c r="M2355" s="490" t="s">
        <v>37</v>
      </c>
      <c r="N2355" s="490">
        <v>1</v>
      </c>
    </row>
    <row r="2356" spans="1:14" s="384" customFormat="1" ht="60.75" outlineLevel="1" collapsed="1">
      <c r="A2356" s="489" t="s">
        <v>2937</v>
      </c>
      <c r="B2356" s="452" t="s">
        <v>298</v>
      </c>
      <c r="C2356" s="455" t="s">
        <v>49</v>
      </c>
      <c r="D2356" s="455" t="s">
        <v>1830</v>
      </c>
      <c r="E2356" s="490" t="s">
        <v>2944</v>
      </c>
      <c r="F2356" s="385" t="s">
        <v>303</v>
      </c>
      <c r="G2356" s="385"/>
      <c r="H2356" s="401" t="s">
        <v>2945</v>
      </c>
      <c r="I2356" s="385" t="str">
        <f>CONCATENATE(I2357," ","(",H2357,")","-",N2357," ",M2357," ",I2358," ","(",H2358,")","-",N2358," ",M2358)</f>
        <v>Ремонт РУ10-0,4 кВ (Замена изоляторов- 9 шт.)-1 шт. Ремонт строительной части ТП, КТП (Покраска 30 м2)-1 шт.</v>
      </c>
      <c r="J2356" s="489" t="s">
        <v>365</v>
      </c>
      <c r="K2356" s="450">
        <v>44348</v>
      </c>
      <c r="L2356" s="450">
        <v>44377</v>
      </c>
      <c r="M2356" s="490"/>
      <c r="N2356" s="490"/>
    </row>
    <row r="2357" spans="1:14" hidden="1" outlineLevel="2">
      <c r="A2357" s="438"/>
      <c r="B2357" s="452" t="s">
        <v>298</v>
      </c>
      <c r="C2357" s="489" t="s">
        <v>49</v>
      </c>
      <c r="D2357" s="454" t="s">
        <v>1830</v>
      </c>
      <c r="E2357" s="385"/>
      <c r="F2357" s="385"/>
      <c r="G2357" s="385"/>
      <c r="H2357" s="401" t="s">
        <v>2946</v>
      </c>
      <c r="I2357" s="385" t="s">
        <v>171</v>
      </c>
      <c r="J2357" s="489"/>
      <c r="K2357" s="450"/>
      <c r="L2357" s="450"/>
      <c r="M2357" s="490" t="s">
        <v>37</v>
      </c>
      <c r="N2357" s="490">
        <v>1</v>
      </c>
    </row>
    <row r="2358" spans="1:14" hidden="1" outlineLevel="2">
      <c r="A2358" s="438"/>
      <c r="B2358" s="452" t="s">
        <v>298</v>
      </c>
      <c r="C2358" s="489" t="s">
        <v>49</v>
      </c>
      <c r="D2358" s="454" t="s">
        <v>1830</v>
      </c>
      <c r="E2358" s="385"/>
      <c r="F2358" s="385"/>
      <c r="G2358" s="385"/>
      <c r="H2358" s="401" t="s">
        <v>2947</v>
      </c>
      <c r="I2358" s="385" t="s">
        <v>164</v>
      </c>
      <c r="J2358" s="489"/>
      <c r="K2358" s="450"/>
      <c r="L2358" s="450"/>
      <c r="M2358" s="490" t="s">
        <v>37</v>
      </c>
      <c r="N2358" s="490">
        <v>1</v>
      </c>
    </row>
    <row r="2359" spans="1:14" s="384" customFormat="1" ht="40.5" outlineLevel="1" collapsed="1">
      <c r="A2359" s="489" t="s">
        <v>2940</v>
      </c>
      <c r="B2359" s="452" t="s">
        <v>298</v>
      </c>
      <c r="C2359" s="455" t="s">
        <v>49</v>
      </c>
      <c r="D2359" s="455" t="s">
        <v>1830</v>
      </c>
      <c r="E2359" s="490" t="s">
        <v>2949</v>
      </c>
      <c r="F2359" s="385" t="s">
        <v>303</v>
      </c>
      <c r="G2359" s="385"/>
      <c r="H2359" s="401" t="s">
        <v>2950</v>
      </c>
      <c r="I2359" s="385" t="str">
        <f>CONCATENATE(I2360," ","(",H2360,")","-",N2360," ",M2360)</f>
        <v>Ремонт РУ10-0,4 кВ (Замена рубильника - 2 шт)-1 шт.</v>
      </c>
      <c r="J2359" s="489" t="s">
        <v>365</v>
      </c>
      <c r="K2359" s="450">
        <v>44440</v>
      </c>
      <c r="L2359" s="450">
        <v>44469</v>
      </c>
      <c r="M2359" s="490"/>
      <c r="N2359" s="490"/>
    </row>
    <row r="2360" spans="1:14" hidden="1" outlineLevel="2">
      <c r="A2360" s="438"/>
      <c r="B2360" s="452" t="s">
        <v>298</v>
      </c>
      <c r="C2360" s="489" t="s">
        <v>49</v>
      </c>
      <c r="D2360" s="454" t="s">
        <v>1830</v>
      </c>
      <c r="E2360" s="385"/>
      <c r="F2360" s="385"/>
      <c r="G2360" s="385"/>
      <c r="H2360" s="401" t="s">
        <v>2951</v>
      </c>
      <c r="I2360" s="385" t="s">
        <v>171</v>
      </c>
      <c r="J2360" s="489"/>
      <c r="K2360" s="450"/>
      <c r="L2360" s="450"/>
      <c r="M2360" s="490" t="s">
        <v>37</v>
      </c>
      <c r="N2360" s="490">
        <v>1</v>
      </c>
    </row>
    <row r="2361" spans="1:14" s="384" customFormat="1" ht="40.5" outlineLevel="1" collapsed="1">
      <c r="A2361" s="489" t="s">
        <v>2943</v>
      </c>
      <c r="B2361" s="452" t="s">
        <v>298</v>
      </c>
      <c r="C2361" s="455" t="s">
        <v>49</v>
      </c>
      <c r="D2361" s="455" t="s">
        <v>1830</v>
      </c>
      <c r="E2361" s="385" t="s">
        <v>2954</v>
      </c>
      <c r="F2361" s="385" t="s">
        <v>303</v>
      </c>
      <c r="G2361" s="385"/>
      <c r="H2361" s="401" t="s">
        <v>2953</v>
      </c>
      <c r="I2361" s="385" t="str">
        <f>CONCATENATE(I2362," ","(",H2362,")","-",N2362," ",M2362)</f>
        <v>Ремонт РУ10-0,4 кВ (Замена изоляторов- 6 шт.
Замена предохран - 9 шт.)-1 шт.</v>
      </c>
      <c r="J2361" s="489" t="s">
        <v>365</v>
      </c>
      <c r="K2361" s="450">
        <v>44317</v>
      </c>
      <c r="L2361" s="450">
        <v>44346</v>
      </c>
      <c r="M2361" s="490"/>
      <c r="N2361" s="490"/>
    </row>
    <row r="2362" spans="1:14" ht="40.5" hidden="1" outlineLevel="2">
      <c r="A2362" s="438"/>
      <c r="B2362" s="452" t="s">
        <v>298</v>
      </c>
      <c r="C2362" s="489" t="s">
        <v>49</v>
      </c>
      <c r="D2362" s="454" t="s">
        <v>1830</v>
      </c>
      <c r="E2362" s="490"/>
      <c r="F2362" s="385"/>
      <c r="G2362" s="385"/>
      <c r="H2362" s="401" t="s">
        <v>2955</v>
      </c>
      <c r="I2362" s="385" t="s">
        <v>171</v>
      </c>
      <c r="J2362" s="489"/>
      <c r="K2362" s="450"/>
      <c r="L2362" s="450"/>
      <c r="M2362" s="490" t="s">
        <v>37</v>
      </c>
      <c r="N2362" s="490">
        <v>1</v>
      </c>
    </row>
    <row r="2363" spans="1:14" s="384" customFormat="1" ht="81" outlineLevel="1" collapsed="1">
      <c r="A2363" s="489" t="s">
        <v>2948</v>
      </c>
      <c r="B2363" s="452" t="s">
        <v>298</v>
      </c>
      <c r="C2363" s="455" t="s">
        <v>49</v>
      </c>
      <c r="D2363" s="455" t="s">
        <v>1830</v>
      </c>
      <c r="E2363" s="385" t="s">
        <v>2958</v>
      </c>
      <c r="F2363" s="385" t="s">
        <v>303</v>
      </c>
      <c r="G2363" s="385"/>
      <c r="H2363" s="401" t="s">
        <v>2957</v>
      </c>
      <c r="I2363" s="385" t="str">
        <f>CONCATENATE(I2364," ","(",H2364,")","-",N2364," ",M2364)</f>
        <v>Ремонт РУ10-0,4 кВ (Замена рубильника - 1 шт.,
Замена изоляторов- 3 шт.
Замена  разъединителя выключатель нагрузки -2 шт., )-1 шт.</v>
      </c>
      <c r="J2363" s="489" t="s">
        <v>365</v>
      </c>
      <c r="K2363" s="450">
        <v>44378</v>
      </c>
      <c r="L2363" s="450">
        <v>44407</v>
      </c>
      <c r="M2363" s="490"/>
      <c r="N2363" s="490"/>
    </row>
    <row r="2364" spans="1:14" ht="81" hidden="1" outlineLevel="2">
      <c r="A2364" s="438"/>
      <c r="B2364" s="452" t="s">
        <v>298</v>
      </c>
      <c r="C2364" s="489" t="s">
        <v>49</v>
      </c>
      <c r="D2364" s="454" t="s">
        <v>1830</v>
      </c>
      <c r="E2364" s="385"/>
      <c r="F2364" s="385"/>
      <c r="G2364" s="385"/>
      <c r="H2364" s="401" t="s">
        <v>3326</v>
      </c>
      <c r="I2364" s="385" t="s">
        <v>171</v>
      </c>
      <c r="J2364" s="489"/>
      <c r="K2364" s="450"/>
      <c r="L2364" s="450"/>
      <c r="M2364" s="490" t="s">
        <v>37</v>
      </c>
      <c r="N2364" s="490">
        <v>1</v>
      </c>
    </row>
    <row r="2365" spans="1:14" s="384" customFormat="1" ht="101.25" outlineLevel="1" collapsed="1">
      <c r="A2365" s="489" t="s">
        <v>2952</v>
      </c>
      <c r="B2365" s="452" t="s">
        <v>298</v>
      </c>
      <c r="C2365" s="455" t="s">
        <v>49</v>
      </c>
      <c r="D2365" s="455" t="s">
        <v>1830</v>
      </c>
      <c r="E2365" s="385" t="s">
        <v>2961</v>
      </c>
      <c r="F2365" s="385" t="s">
        <v>303</v>
      </c>
      <c r="G2365" s="385"/>
      <c r="H2365" s="401" t="s">
        <v>2960</v>
      </c>
      <c r="I2365" s="385" t="str">
        <f>CONCATENATE(I2366," ","(",H2366,")","-",N2366," ",M2366," ",I2367," ","(",H2367,")","-",N2367," ",M2367)</f>
        <v>Ремонт РУ10-0,4 кВ (Ремонт выключателя нагрузки - 2 шт.
Ремонт разъединителя - 4 шт.
Замена изоляторов- 30 шт.)-1 шт. Ремонт строительной части ТП, КТП (Покраска 13 м2.)-1 шт.</v>
      </c>
      <c r="J2365" s="489" t="s">
        <v>365</v>
      </c>
      <c r="K2365" s="450">
        <v>44409</v>
      </c>
      <c r="L2365" s="450">
        <v>44438</v>
      </c>
      <c r="M2365" s="490"/>
      <c r="N2365" s="490"/>
    </row>
    <row r="2366" spans="1:14" ht="60.75" hidden="1" outlineLevel="2">
      <c r="A2366" s="438"/>
      <c r="B2366" s="452" t="s">
        <v>298</v>
      </c>
      <c r="C2366" s="489" t="s">
        <v>49</v>
      </c>
      <c r="D2366" s="454" t="s">
        <v>1830</v>
      </c>
      <c r="E2366" s="385"/>
      <c r="F2366" s="385"/>
      <c r="G2366" s="385"/>
      <c r="H2366" s="401" t="s">
        <v>2962</v>
      </c>
      <c r="I2366" s="385" t="s">
        <v>171</v>
      </c>
      <c r="J2366" s="489"/>
      <c r="K2366" s="450"/>
      <c r="L2366" s="450"/>
      <c r="M2366" s="490" t="s">
        <v>37</v>
      </c>
      <c r="N2366" s="490">
        <v>1</v>
      </c>
    </row>
    <row r="2367" spans="1:14" hidden="1" outlineLevel="2">
      <c r="A2367" s="438"/>
      <c r="B2367" s="452" t="s">
        <v>298</v>
      </c>
      <c r="C2367" s="489" t="s">
        <v>49</v>
      </c>
      <c r="D2367" s="454" t="s">
        <v>1830</v>
      </c>
      <c r="E2367" s="385"/>
      <c r="F2367" s="385"/>
      <c r="G2367" s="385"/>
      <c r="H2367" s="401" t="s">
        <v>2963</v>
      </c>
      <c r="I2367" s="385" t="s">
        <v>164</v>
      </c>
      <c r="J2367" s="489"/>
      <c r="K2367" s="450"/>
      <c r="L2367" s="450"/>
      <c r="M2367" s="490" t="s">
        <v>37</v>
      </c>
      <c r="N2367" s="490">
        <v>1</v>
      </c>
    </row>
    <row r="2368" spans="1:14" s="384" customFormat="1" ht="40.5" outlineLevel="1" collapsed="1">
      <c r="A2368" s="489" t="s">
        <v>2956</v>
      </c>
      <c r="B2368" s="452" t="s">
        <v>298</v>
      </c>
      <c r="C2368" s="398" t="s">
        <v>49</v>
      </c>
      <c r="D2368" s="455" t="s">
        <v>1830</v>
      </c>
      <c r="E2368" s="385" t="s">
        <v>2966</v>
      </c>
      <c r="F2368" s="385" t="s">
        <v>303</v>
      </c>
      <c r="G2368" s="385"/>
      <c r="H2368" s="401" t="s">
        <v>2965</v>
      </c>
      <c r="I2368" s="385" t="str">
        <f>CONCATENATE(I2369," ","(",H2369,")","-",N2369," ",M2369)</f>
        <v>Ремонт РУ10-0,4 кВ (Замена изоляторов - 2 шт.
Монтаж шинного моста - 12 м)-1 шт.</v>
      </c>
      <c r="J2368" s="489" t="s">
        <v>365</v>
      </c>
      <c r="K2368" s="450">
        <v>44470</v>
      </c>
      <c r="L2368" s="450">
        <v>44499</v>
      </c>
      <c r="M2368" s="490"/>
      <c r="N2368" s="490"/>
    </row>
    <row r="2369" spans="1:14" ht="40.5" hidden="1" outlineLevel="2">
      <c r="A2369" s="438"/>
      <c r="B2369" s="452" t="s">
        <v>298</v>
      </c>
      <c r="C2369" s="489" t="s">
        <v>49</v>
      </c>
      <c r="D2369" s="454" t="s">
        <v>1830</v>
      </c>
      <c r="E2369" s="385"/>
      <c r="F2369" s="385"/>
      <c r="G2369" s="385"/>
      <c r="H2369" s="401" t="s">
        <v>2967</v>
      </c>
      <c r="I2369" s="385" t="s">
        <v>171</v>
      </c>
      <c r="J2369" s="489"/>
      <c r="K2369" s="450"/>
      <c r="L2369" s="450"/>
      <c r="M2369" s="490" t="s">
        <v>37</v>
      </c>
      <c r="N2369" s="490">
        <v>1</v>
      </c>
    </row>
    <row r="2370" spans="1:14" s="384" customFormat="1" ht="40.5" outlineLevel="1" collapsed="1">
      <c r="A2370" s="489" t="s">
        <v>2959</v>
      </c>
      <c r="B2370" s="452" t="s">
        <v>298</v>
      </c>
      <c r="C2370" s="398" t="s">
        <v>49</v>
      </c>
      <c r="D2370" s="455" t="s">
        <v>1830</v>
      </c>
      <c r="E2370" s="385" t="s">
        <v>2970</v>
      </c>
      <c r="F2370" s="385" t="s">
        <v>303</v>
      </c>
      <c r="G2370" s="385"/>
      <c r="H2370" s="401" t="s">
        <v>2969</v>
      </c>
      <c r="I2370" s="385" t="str">
        <f>CONCATENATE(I2371," ","(",H2371,")","-",N2371," ",M2371)</f>
        <v>Ремонт РУ10-0,4 кВ (Замена изоляторов - 2 шт.)-1 шт.</v>
      </c>
      <c r="J2370" s="489" t="s">
        <v>365</v>
      </c>
      <c r="K2370" s="450">
        <v>44348</v>
      </c>
      <c r="L2370" s="450">
        <v>44377</v>
      </c>
      <c r="M2370" s="490"/>
      <c r="N2370" s="490"/>
    </row>
    <row r="2371" spans="1:14" hidden="1" outlineLevel="2">
      <c r="A2371" s="438"/>
      <c r="B2371" s="452" t="s">
        <v>298</v>
      </c>
      <c r="C2371" s="489" t="s">
        <v>49</v>
      </c>
      <c r="D2371" s="454" t="s">
        <v>1830</v>
      </c>
      <c r="E2371" s="385"/>
      <c r="F2371" s="385"/>
      <c r="G2371" s="385"/>
      <c r="H2371" s="401" t="s">
        <v>2971</v>
      </c>
      <c r="I2371" s="385" t="s">
        <v>171</v>
      </c>
      <c r="J2371" s="489"/>
      <c r="K2371" s="450"/>
      <c r="L2371" s="450"/>
      <c r="M2371" s="490" t="s">
        <v>37</v>
      </c>
      <c r="N2371" s="490">
        <v>1</v>
      </c>
    </row>
    <row r="2372" spans="1:14" s="384" customFormat="1" ht="81" outlineLevel="1" collapsed="1">
      <c r="A2372" s="489" t="s">
        <v>2964</v>
      </c>
      <c r="B2372" s="452" t="s">
        <v>298</v>
      </c>
      <c r="C2372" s="398" t="s">
        <v>49</v>
      </c>
      <c r="D2372" s="455" t="s">
        <v>1830</v>
      </c>
      <c r="E2372" s="385" t="s">
        <v>2974</v>
      </c>
      <c r="F2372" s="385" t="s">
        <v>303</v>
      </c>
      <c r="G2372" s="385"/>
      <c r="H2372" s="401" t="s">
        <v>2973</v>
      </c>
      <c r="I2372" s="385" t="str">
        <f>CONCATENATE(I2373," ","(",H2373,")","-",N2373," ",M2373)</f>
        <v>Ремонт РУ10-0,4 кВ (Замена изоляторов - 12 шт.)-1 шт.</v>
      </c>
      <c r="J2372" s="489" t="s">
        <v>365</v>
      </c>
      <c r="K2372" s="450">
        <v>44409</v>
      </c>
      <c r="L2372" s="450">
        <v>44438</v>
      </c>
      <c r="M2372" s="490"/>
      <c r="N2372" s="490"/>
    </row>
    <row r="2373" spans="1:14" ht="58.5" hidden="1" customHeight="1" outlineLevel="2">
      <c r="A2373" s="438"/>
      <c r="B2373" s="452" t="s">
        <v>298</v>
      </c>
      <c r="C2373" s="489" t="s">
        <v>49</v>
      </c>
      <c r="D2373" s="454" t="s">
        <v>1830</v>
      </c>
      <c r="E2373" s="490"/>
      <c r="F2373" s="385"/>
      <c r="G2373" s="385"/>
      <c r="H2373" s="401" t="s">
        <v>2975</v>
      </c>
      <c r="I2373" s="385" t="s">
        <v>171</v>
      </c>
      <c r="J2373" s="489"/>
      <c r="K2373" s="450"/>
      <c r="L2373" s="450"/>
      <c r="M2373" s="490" t="s">
        <v>37</v>
      </c>
      <c r="N2373" s="490">
        <v>1</v>
      </c>
    </row>
    <row r="2374" spans="1:14" s="384" customFormat="1" ht="60.75" outlineLevel="1" collapsed="1">
      <c r="A2374" s="489" t="s">
        <v>2968</v>
      </c>
      <c r="B2374" s="452" t="s">
        <v>298</v>
      </c>
      <c r="C2374" s="398" t="s">
        <v>49</v>
      </c>
      <c r="D2374" s="455" t="s">
        <v>1830</v>
      </c>
      <c r="E2374" s="385" t="s">
        <v>2978</v>
      </c>
      <c r="F2374" s="385" t="s">
        <v>303</v>
      </c>
      <c r="G2374" s="385"/>
      <c r="H2374" s="401" t="s">
        <v>2977</v>
      </c>
      <c r="I2374" s="385" t="str">
        <f>CONCATENATE(I2375," ","(",H2375,")","-",N2375," ",M2375)</f>
        <v>Ремонт РУ10-0,4 кВ (Установка автоматического выключателя - 1 шт.
Замена изоляторов - 12 шт.)-1 шт.</v>
      </c>
      <c r="J2374" s="489" t="s">
        <v>365</v>
      </c>
      <c r="K2374" s="450">
        <v>44440</v>
      </c>
      <c r="L2374" s="450">
        <v>44469</v>
      </c>
      <c r="M2374" s="490"/>
      <c r="N2374" s="490"/>
    </row>
    <row r="2375" spans="1:14" ht="60.75" hidden="1" outlineLevel="2">
      <c r="A2375" s="438"/>
      <c r="B2375" s="452" t="s">
        <v>298</v>
      </c>
      <c r="C2375" s="489" t="s">
        <v>49</v>
      </c>
      <c r="D2375" s="454" t="s">
        <v>1830</v>
      </c>
      <c r="E2375" s="490"/>
      <c r="F2375" s="385"/>
      <c r="G2375" s="385"/>
      <c r="H2375" s="401" t="s">
        <v>2979</v>
      </c>
      <c r="I2375" s="385" t="s">
        <v>171</v>
      </c>
      <c r="J2375" s="489"/>
      <c r="K2375" s="450"/>
      <c r="L2375" s="450"/>
      <c r="M2375" s="490" t="s">
        <v>37</v>
      </c>
      <c r="N2375" s="490">
        <v>1</v>
      </c>
    </row>
    <row r="2376" spans="1:14" s="384" customFormat="1" ht="40.5" outlineLevel="1" collapsed="1">
      <c r="A2376" s="489" t="s">
        <v>2972</v>
      </c>
      <c r="B2376" s="452" t="s">
        <v>298</v>
      </c>
      <c r="C2376" s="398" t="s">
        <v>49</v>
      </c>
      <c r="D2376" s="455" t="s">
        <v>1830</v>
      </c>
      <c r="E2376" s="385" t="s">
        <v>2982</v>
      </c>
      <c r="F2376" s="385" t="s">
        <v>303</v>
      </c>
      <c r="G2376" s="385"/>
      <c r="H2376" s="401" t="s">
        <v>2981</v>
      </c>
      <c r="I2376" s="385" t="str">
        <f>CONCATENATE(I2377," ","(",H2377,")","-",N2377," ",M2377)</f>
        <v>Ремонт РУ10-0,4 кВ (Замена трансформаторов тока - 2 шт.)-1 шт.</v>
      </c>
      <c r="J2376" s="489" t="s">
        <v>365</v>
      </c>
      <c r="K2376" s="450">
        <v>44440</v>
      </c>
      <c r="L2376" s="450">
        <v>44469</v>
      </c>
      <c r="M2376" s="490"/>
      <c r="N2376" s="490"/>
    </row>
    <row r="2377" spans="1:14" hidden="1" outlineLevel="2">
      <c r="A2377" s="438"/>
      <c r="B2377" s="452" t="s">
        <v>298</v>
      </c>
      <c r="C2377" s="489" t="s">
        <v>49</v>
      </c>
      <c r="D2377" s="454" t="s">
        <v>1830</v>
      </c>
      <c r="E2377" s="490"/>
      <c r="F2377" s="385"/>
      <c r="G2377" s="385"/>
      <c r="H2377" s="401" t="s">
        <v>2983</v>
      </c>
      <c r="I2377" s="385" t="s">
        <v>171</v>
      </c>
      <c r="J2377" s="489"/>
      <c r="K2377" s="450"/>
      <c r="L2377" s="450"/>
      <c r="M2377" s="490" t="s">
        <v>37</v>
      </c>
      <c r="N2377" s="490">
        <v>1</v>
      </c>
    </row>
    <row r="2378" spans="1:14" s="384" customFormat="1" ht="40.5" outlineLevel="1" collapsed="1">
      <c r="A2378" s="489" t="s">
        <v>2976</v>
      </c>
      <c r="B2378" s="452" t="s">
        <v>298</v>
      </c>
      <c r="C2378" s="398" t="s">
        <v>49</v>
      </c>
      <c r="D2378" s="455" t="s">
        <v>1830</v>
      </c>
      <c r="E2378" s="385" t="s">
        <v>2986</v>
      </c>
      <c r="F2378" s="385" t="s">
        <v>303</v>
      </c>
      <c r="G2378" s="385"/>
      <c r="H2378" s="401" t="s">
        <v>2985</v>
      </c>
      <c r="I2378" s="385" t="str">
        <f>CONCATENATE(I2379," ","(",H2379,")","-",N2379," ",M2379," ",I2380," ","(",H2380,")","-",N2380," ",M2380)</f>
        <v xml:space="preserve">Ремонт РУ10-0,4 кВ (Замена предохран - 3 шт.)-1 шт.  ()- </v>
      </c>
      <c r="J2378" s="489" t="s">
        <v>366</v>
      </c>
      <c r="K2378" s="450">
        <v>44409</v>
      </c>
      <c r="L2378" s="450">
        <v>44438</v>
      </c>
      <c r="M2378" s="490"/>
      <c r="N2378" s="490"/>
    </row>
    <row r="2379" spans="1:14" hidden="1" outlineLevel="2">
      <c r="A2379" s="438"/>
      <c r="B2379" s="452" t="s">
        <v>298</v>
      </c>
      <c r="C2379" s="489" t="s">
        <v>49</v>
      </c>
      <c r="D2379" s="454" t="s">
        <v>1830</v>
      </c>
      <c r="E2379" s="490"/>
      <c r="F2379" s="385"/>
      <c r="G2379" s="385"/>
      <c r="H2379" s="401" t="s">
        <v>2987</v>
      </c>
      <c r="I2379" s="385" t="s">
        <v>171</v>
      </c>
      <c r="J2379" s="489"/>
      <c r="K2379" s="450"/>
      <c r="L2379" s="450"/>
      <c r="M2379" s="490" t="s">
        <v>37</v>
      </c>
      <c r="N2379" s="490">
        <v>1</v>
      </c>
    </row>
    <row r="2380" spans="1:14" hidden="1" outlineLevel="2">
      <c r="A2380" s="438"/>
      <c r="B2380" s="452" t="s">
        <v>298</v>
      </c>
      <c r="C2380" s="489" t="s">
        <v>49</v>
      </c>
      <c r="D2380" s="454" t="s">
        <v>1830</v>
      </c>
      <c r="E2380" s="385"/>
      <c r="F2380" s="385"/>
      <c r="G2380" s="385"/>
      <c r="H2380" s="401"/>
      <c r="I2380" s="385"/>
      <c r="J2380" s="489"/>
      <c r="K2380" s="450"/>
      <c r="L2380" s="450"/>
      <c r="M2380" s="490"/>
      <c r="N2380" s="490"/>
    </row>
    <row r="2381" spans="1:14" hidden="1" outlineLevel="2">
      <c r="A2381" s="450"/>
      <c r="B2381" s="452" t="s">
        <v>298</v>
      </c>
      <c r="C2381" s="489" t="s">
        <v>49</v>
      </c>
      <c r="D2381" s="454" t="s">
        <v>1830</v>
      </c>
      <c r="E2381" s="385"/>
      <c r="F2381" s="385"/>
      <c r="G2381" s="385"/>
      <c r="H2381" s="401"/>
      <c r="I2381" s="385"/>
      <c r="J2381" s="489"/>
      <c r="K2381" s="450"/>
      <c r="L2381" s="450"/>
      <c r="M2381" s="490"/>
      <c r="N2381" s="438"/>
    </row>
    <row r="2382" spans="1:14" s="384" customFormat="1" ht="81" outlineLevel="1" collapsed="1">
      <c r="A2382" s="489" t="s">
        <v>2980</v>
      </c>
      <c r="B2382" s="452" t="s">
        <v>298</v>
      </c>
      <c r="C2382" s="398" t="s">
        <v>49</v>
      </c>
      <c r="D2382" s="455" t="s">
        <v>1830</v>
      </c>
      <c r="E2382" s="385" t="s">
        <v>2990</v>
      </c>
      <c r="F2382" s="385" t="s">
        <v>2161</v>
      </c>
      <c r="G2382" s="456" t="s">
        <v>3593</v>
      </c>
      <c r="H2382" s="401" t="s">
        <v>2989</v>
      </c>
      <c r="I2382" s="385" t="str">
        <f>CONCATENATE(I2383," ","(",H2383,")","-",N2383," ",M2383)</f>
        <v>Ремонт РУ10-0,4 кВ (Замена трансформаторов напряжения - 2 шт.
Замена трансформаторов тока - 4 шт.
Замена изоляторов - 8 шт.)-1 шт.</v>
      </c>
      <c r="J2382" s="489" t="s">
        <v>365</v>
      </c>
      <c r="K2382" s="450">
        <v>44409</v>
      </c>
      <c r="L2382" s="450">
        <v>44438</v>
      </c>
      <c r="M2382" s="490"/>
      <c r="N2382" s="490"/>
    </row>
    <row r="2383" spans="1:14" ht="81" hidden="1" outlineLevel="2">
      <c r="A2383" s="438"/>
      <c r="B2383" s="452" t="s">
        <v>298</v>
      </c>
      <c r="C2383" s="489" t="s">
        <v>49</v>
      </c>
      <c r="D2383" s="454" t="s">
        <v>1830</v>
      </c>
      <c r="E2383" s="490"/>
      <c r="F2383" s="385"/>
      <c r="G2383" s="385"/>
      <c r="H2383" s="401" t="s">
        <v>2991</v>
      </c>
      <c r="I2383" s="385" t="s">
        <v>171</v>
      </c>
      <c r="J2383" s="489"/>
      <c r="K2383" s="450"/>
      <c r="L2383" s="450"/>
      <c r="M2383" s="490" t="s">
        <v>37</v>
      </c>
      <c r="N2383" s="490">
        <v>1</v>
      </c>
    </row>
    <row r="2384" spans="1:14" s="384" customFormat="1" ht="40.5" outlineLevel="1" collapsed="1">
      <c r="A2384" s="489" t="s">
        <v>2984</v>
      </c>
      <c r="B2384" s="452" t="s">
        <v>298</v>
      </c>
      <c r="C2384" s="398" t="s">
        <v>49</v>
      </c>
      <c r="D2384" s="455" t="s">
        <v>1830</v>
      </c>
      <c r="E2384" s="385" t="s">
        <v>2994</v>
      </c>
      <c r="F2384" s="385" t="s">
        <v>303</v>
      </c>
      <c r="G2384" s="385"/>
      <c r="H2384" s="401" t="s">
        <v>2993</v>
      </c>
      <c r="I2384" s="385" t="str">
        <f>CONCATENATE(I2385," ","(",H2385,")","-",N2385," ",M2385)</f>
        <v>Ремонт РУ10-0,4 кВ (Покраска 30 м2
Ремонт рубильника - 2 шт.)-1 шт.</v>
      </c>
      <c r="J2384" s="489" t="s">
        <v>366</v>
      </c>
      <c r="K2384" s="450">
        <v>44378</v>
      </c>
      <c r="L2384" s="450">
        <v>44407</v>
      </c>
      <c r="M2384" s="490"/>
      <c r="N2384" s="490"/>
    </row>
    <row r="2385" spans="1:14" ht="40.5" hidden="1" outlineLevel="2">
      <c r="A2385" s="438"/>
      <c r="B2385" s="452" t="s">
        <v>298</v>
      </c>
      <c r="C2385" s="489" t="s">
        <v>49</v>
      </c>
      <c r="D2385" s="454" t="s">
        <v>1830</v>
      </c>
      <c r="E2385" s="490"/>
      <c r="F2385" s="385"/>
      <c r="G2385" s="385"/>
      <c r="H2385" s="401" t="s">
        <v>2995</v>
      </c>
      <c r="I2385" s="385" t="s">
        <v>171</v>
      </c>
      <c r="J2385" s="489"/>
      <c r="K2385" s="450"/>
      <c r="L2385" s="450"/>
      <c r="M2385" s="490" t="s">
        <v>37</v>
      </c>
      <c r="N2385" s="490">
        <v>1</v>
      </c>
    </row>
    <row r="2386" spans="1:14" s="384" customFormat="1" ht="40.5" outlineLevel="1" collapsed="1">
      <c r="A2386" s="489" t="s">
        <v>2988</v>
      </c>
      <c r="B2386" s="452" t="s">
        <v>298</v>
      </c>
      <c r="C2386" s="398" t="s">
        <v>49</v>
      </c>
      <c r="D2386" s="455" t="s">
        <v>1830</v>
      </c>
      <c r="E2386" s="385" t="s">
        <v>2998</v>
      </c>
      <c r="F2386" s="385" t="s">
        <v>303</v>
      </c>
      <c r="G2386" s="385"/>
      <c r="H2386" s="401" t="s">
        <v>2997</v>
      </c>
      <c r="I2386" s="385" t="str">
        <f>CONCATENATE(I2387," ","(",H2387,")","-",N2387," ",M2387)</f>
        <v>Текущий  ремонт ТМ (ТМ 250/10/0,4 )-1 шт.</v>
      </c>
      <c r="J2386" s="489" t="s">
        <v>366</v>
      </c>
      <c r="K2386" s="450">
        <v>44348</v>
      </c>
      <c r="L2386" s="450">
        <v>44377</v>
      </c>
      <c r="M2386" s="490"/>
      <c r="N2386" s="490"/>
    </row>
    <row r="2387" spans="1:14" hidden="1" outlineLevel="2">
      <c r="A2387" s="438"/>
      <c r="B2387" s="452" t="s">
        <v>298</v>
      </c>
      <c r="C2387" s="489" t="s">
        <v>49</v>
      </c>
      <c r="D2387" s="454" t="s">
        <v>1830</v>
      </c>
      <c r="F2387" s="385"/>
      <c r="G2387" s="385"/>
      <c r="H2387" s="401" t="s">
        <v>2999</v>
      </c>
      <c r="I2387" s="456" t="s">
        <v>3349</v>
      </c>
      <c r="J2387" s="489"/>
      <c r="K2387" s="450"/>
      <c r="L2387" s="450"/>
      <c r="M2387" s="490" t="s">
        <v>37</v>
      </c>
      <c r="N2387" s="490">
        <v>1</v>
      </c>
    </row>
    <row r="2388" spans="1:14" s="384" customFormat="1" ht="60.75" outlineLevel="1" collapsed="1">
      <c r="A2388" s="489" t="s">
        <v>2992</v>
      </c>
      <c r="B2388" s="452" t="s">
        <v>298</v>
      </c>
      <c r="C2388" s="398" t="s">
        <v>49</v>
      </c>
      <c r="D2388" s="455" t="s">
        <v>1830</v>
      </c>
      <c r="E2388" s="385" t="s">
        <v>2944</v>
      </c>
      <c r="F2388" s="385" t="s">
        <v>303</v>
      </c>
      <c r="G2388" s="385"/>
      <c r="H2388" s="401" t="s">
        <v>2945</v>
      </c>
      <c r="I2388" s="385" t="str">
        <f>CONCATENATE(I2389," ","(",H2389,")","-",N2389," ",M2389," ",I2390," ","(",H2390,")","-",N2390," ",M2390)</f>
        <v>Текущий ремонт ТМ (Ремонт ТМ 400/10/0,4 )-1 шт. Ремонт РУ10-0,4 кВ (Ремонт разъединителя - 1 шт.
Замена предохранителя- 3 шт)-1 шт.</v>
      </c>
      <c r="J2388" s="489" t="s">
        <v>366</v>
      </c>
      <c r="K2388" s="450">
        <v>44348</v>
      </c>
      <c r="L2388" s="450">
        <v>44377</v>
      </c>
      <c r="M2388" s="490"/>
      <c r="N2388" s="490"/>
    </row>
    <row r="2389" spans="1:14" hidden="1" outlineLevel="2">
      <c r="A2389" s="438"/>
      <c r="B2389" s="452" t="s">
        <v>298</v>
      </c>
      <c r="C2389" s="489" t="s">
        <v>49</v>
      </c>
      <c r="D2389" s="454" t="s">
        <v>1830</v>
      </c>
      <c r="F2389" s="385"/>
      <c r="G2389" s="385"/>
      <c r="H2389" s="401" t="s">
        <v>3001</v>
      </c>
      <c r="I2389" s="385" t="s">
        <v>438</v>
      </c>
      <c r="J2389" s="489"/>
      <c r="K2389" s="450"/>
      <c r="L2389" s="450"/>
      <c r="M2389" s="490" t="s">
        <v>37</v>
      </c>
      <c r="N2389" s="490">
        <v>1</v>
      </c>
    </row>
    <row r="2390" spans="1:14" ht="40.5" hidden="1" outlineLevel="2">
      <c r="A2390" s="438"/>
      <c r="B2390" s="452" t="s">
        <v>298</v>
      </c>
      <c r="C2390" s="489" t="s">
        <v>49</v>
      </c>
      <c r="D2390" s="454" t="s">
        <v>1830</v>
      </c>
      <c r="E2390" s="385"/>
      <c r="F2390" s="385"/>
      <c r="G2390" s="385"/>
      <c r="H2390" s="401" t="s">
        <v>3002</v>
      </c>
      <c r="I2390" s="385" t="s">
        <v>171</v>
      </c>
      <c r="J2390" s="489"/>
      <c r="K2390" s="450"/>
      <c r="L2390" s="450"/>
      <c r="M2390" s="490" t="s">
        <v>37</v>
      </c>
      <c r="N2390" s="490">
        <v>1</v>
      </c>
    </row>
    <row r="2391" spans="1:14" s="384" customFormat="1" ht="141.75" outlineLevel="1" collapsed="1">
      <c r="A2391" s="489" t="s">
        <v>2996</v>
      </c>
      <c r="B2391" s="452" t="s">
        <v>298</v>
      </c>
      <c r="C2391" s="398" t="s">
        <v>49</v>
      </c>
      <c r="D2391" s="455" t="s">
        <v>1830</v>
      </c>
      <c r="E2391" s="385" t="s">
        <v>3594</v>
      </c>
      <c r="F2391" s="385" t="s">
        <v>303</v>
      </c>
      <c r="G2391" s="385"/>
      <c r="H2391" s="401" t="s">
        <v>3004</v>
      </c>
      <c r="I2391" s="385" t="str">
        <f>CONCATENATE(I2392," ","(",H2392,")","-",N2392," ",M2392," ",I2393," ","(",H2393,")","-",N2393," ",M2393)</f>
        <v>Текущий ремонт ТМ (ТМ 400/6/0,4,  ТМ 400/6/0,4)-2 шт. Ремонт РУ10-0,4 кВ (Ремонт двери - 10 шт.
Ремонт рубильника - 15 шт.
Ремонт разъединителя - 4 шт.
Ремонт МВ - 1 шт.
Ремонт выключателя нагрузки - 4 шт.
Замена предохранителя- 9 шт)-1 шт.</v>
      </c>
      <c r="J2391" s="489" t="s">
        <v>366</v>
      </c>
      <c r="K2391" s="450">
        <v>44317</v>
      </c>
      <c r="L2391" s="450">
        <v>44346</v>
      </c>
      <c r="M2391" s="490"/>
      <c r="N2391" s="490"/>
    </row>
    <row r="2392" spans="1:14" ht="40.5" hidden="1" outlineLevel="2">
      <c r="A2392" s="438"/>
      <c r="B2392" s="452" t="s">
        <v>298</v>
      </c>
      <c r="C2392" s="489" t="s">
        <v>49</v>
      </c>
      <c r="D2392" s="454" t="s">
        <v>1830</v>
      </c>
      <c r="E2392" s="385" t="s">
        <v>3005</v>
      </c>
      <c r="F2392" s="385"/>
      <c r="G2392" s="385"/>
      <c r="H2392" s="401" t="s">
        <v>3006</v>
      </c>
      <c r="I2392" s="385" t="s">
        <v>438</v>
      </c>
      <c r="J2392" s="489"/>
      <c r="K2392" s="450"/>
      <c r="L2392" s="450"/>
      <c r="M2392" s="490" t="s">
        <v>37</v>
      </c>
      <c r="N2392" s="490">
        <v>2</v>
      </c>
    </row>
    <row r="2393" spans="1:14" ht="96.75" hidden="1" customHeight="1" outlineLevel="2">
      <c r="A2393" s="438"/>
      <c r="B2393" s="452" t="s">
        <v>298</v>
      </c>
      <c r="C2393" s="489" t="s">
        <v>49</v>
      </c>
      <c r="D2393" s="454" t="s">
        <v>1830</v>
      </c>
      <c r="E2393" s="385" t="s">
        <v>3007</v>
      </c>
      <c r="F2393" s="385"/>
      <c r="G2393" s="385"/>
      <c r="H2393" s="401" t="s">
        <v>3008</v>
      </c>
      <c r="I2393" s="385" t="s">
        <v>171</v>
      </c>
      <c r="J2393" s="489"/>
      <c r="K2393" s="450"/>
      <c r="L2393" s="450"/>
      <c r="M2393" s="490" t="s">
        <v>37</v>
      </c>
      <c r="N2393" s="490">
        <v>1</v>
      </c>
    </row>
    <row r="2394" spans="1:14" s="384" customFormat="1" ht="121.5" outlineLevel="1" collapsed="1">
      <c r="A2394" s="489" t="s">
        <v>3000</v>
      </c>
      <c r="B2394" s="452" t="s">
        <v>298</v>
      </c>
      <c r="C2394" s="398" t="s">
        <v>49</v>
      </c>
      <c r="D2394" s="455" t="s">
        <v>1830</v>
      </c>
      <c r="E2394" s="385" t="s">
        <v>3595</v>
      </c>
      <c r="F2394" s="385" t="s">
        <v>303</v>
      </c>
      <c r="G2394" s="385"/>
      <c r="H2394" s="401" t="s">
        <v>3010</v>
      </c>
      <c r="I2394" s="385" t="str">
        <f>CONCATENATE(I2395," ","(",H2395,")","-",N2395," ",M2395," ",I2396," ","(",H2396,")","-",N2396," ",M2396)</f>
        <v>Текущий ремонт ТМ ( ТМ 630/6/0,4 )-1 шт. Ремонт РУ10-0,4 кВ (Ремонт рубильника - 6 шт.
Ремонт двери - 12 шт.
Ремонт выключателя нагрузки - 1 шт.
Ремонт разъединителя - 3 шт.
Замена предохран - 6 шт.)-1 шт.</v>
      </c>
      <c r="J2394" s="489" t="s">
        <v>366</v>
      </c>
      <c r="K2394" s="450">
        <v>44378</v>
      </c>
      <c r="L2394" s="450">
        <v>44407</v>
      </c>
      <c r="M2394" s="490"/>
      <c r="N2394" s="490"/>
    </row>
    <row r="2395" spans="1:14" hidden="1" outlineLevel="2">
      <c r="A2395" s="438"/>
      <c r="B2395" s="452" t="s">
        <v>298</v>
      </c>
      <c r="C2395" s="489" t="s">
        <v>49</v>
      </c>
      <c r="D2395" s="454" t="s">
        <v>1830</v>
      </c>
      <c r="E2395" s="385" t="s">
        <v>3011</v>
      </c>
      <c r="F2395" s="385"/>
      <c r="G2395" s="385"/>
      <c r="H2395" s="401" t="s">
        <v>3012</v>
      </c>
      <c r="I2395" s="385" t="s">
        <v>438</v>
      </c>
      <c r="J2395" s="489"/>
      <c r="K2395" s="450"/>
      <c r="L2395" s="450"/>
      <c r="M2395" s="490" t="s">
        <v>37</v>
      </c>
      <c r="N2395" s="490">
        <v>1</v>
      </c>
    </row>
    <row r="2396" spans="1:14" ht="101.25" hidden="1" outlineLevel="2">
      <c r="A2396" s="438"/>
      <c r="B2396" s="452" t="s">
        <v>298</v>
      </c>
      <c r="C2396" s="489" t="s">
        <v>49</v>
      </c>
      <c r="D2396" s="454" t="s">
        <v>1830</v>
      </c>
      <c r="E2396" s="385" t="s">
        <v>2958</v>
      </c>
      <c r="F2396" s="385"/>
      <c r="G2396" s="385"/>
      <c r="H2396" s="401" t="s">
        <v>3013</v>
      </c>
      <c r="I2396" s="385" t="s">
        <v>171</v>
      </c>
      <c r="J2396" s="489"/>
      <c r="K2396" s="450"/>
      <c r="L2396" s="450"/>
      <c r="M2396" s="490" t="s">
        <v>37</v>
      </c>
      <c r="N2396" s="490">
        <v>1</v>
      </c>
    </row>
    <row r="2397" spans="1:14" s="384" customFormat="1" ht="121.5" outlineLevel="1" collapsed="1">
      <c r="A2397" s="489" t="s">
        <v>3003</v>
      </c>
      <c r="B2397" s="452" t="s">
        <v>298</v>
      </c>
      <c r="C2397" s="398" t="s">
        <v>49</v>
      </c>
      <c r="D2397" s="455" t="s">
        <v>1830</v>
      </c>
      <c r="E2397" s="385" t="s">
        <v>3596</v>
      </c>
      <c r="F2397" s="385" t="s">
        <v>303</v>
      </c>
      <c r="G2397" s="385"/>
      <c r="H2397" s="401" t="s">
        <v>3015</v>
      </c>
      <c r="I2397" s="385" t="str">
        <f>CONCATENATE(I2398," ","(",H2398,")","-",N2398," ",M2398," ",I2399," ","(",H2399,")","-",N2399," ",M2399)</f>
        <v>Текущий ремонт ТМ (ТМ 400/10/0,4)-1 шт. Ремонт РУ10-0,4 кВ (Ремонт двери - 12 шт.
Ремонт рубильника - 7 шт.
Ремонт разъединителя - 3 шт.
Ремонт выключателя нагрузки - 6 шт.
Замена предохран - 9 шт.)-1 шт.</v>
      </c>
      <c r="J2397" s="489" t="s">
        <v>366</v>
      </c>
      <c r="K2397" s="450">
        <v>44470</v>
      </c>
      <c r="L2397" s="450">
        <v>44499</v>
      </c>
      <c r="M2397" s="490"/>
      <c r="N2397" s="490"/>
    </row>
    <row r="2398" spans="1:14" hidden="1" outlineLevel="2">
      <c r="A2398" s="438"/>
      <c r="B2398" s="452" t="s">
        <v>298</v>
      </c>
      <c r="C2398" s="489" t="s">
        <v>49</v>
      </c>
      <c r="D2398" s="454" t="s">
        <v>1830</v>
      </c>
      <c r="E2398" s="385" t="s">
        <v>3016</v>
      </c>
      <c r="F2398" s="385"/>
      <c r="G2398" s="385"/>
      <c r="H2398" s="401" t="s">
        <v>3017</v>
      </c>
      <c r="I2398" s="385" t="s">
        <v>438</v>
      </c>
      <c r="J2398" s="489"/>
      <c r="K2398" s="450"/>
      <c r="L2398" s="450"/>
      <c r="M2398" s="490" t="s">
        <v>37</v>
      </c>
      <c r="N2398" s="490">
        <v>1</v>
      </c>
    </row>
    <row r="2399" spans="1:14" ht="101.25" hidden="1" outlineLevel="2">
      <c r="A2399" s="438"/>
      <c r="B2399" s="452" t="s">
        <v>298</v>
      </c>
      <c r="C2399" s="489" t="s">
        <v>49</v>
      </c>
      <c r="D2399" s="454" t="s">
        <v>1830</v>
      </c>
      <c r="E2399" s="385" t="s">
        <v>3018</v>
      </c>
      <c r="F2399" s="385"/>
      <c r="G2399" s="385"/>
      <c r="H2399" s="401" t="s">
        <v>3019</v>
      </c>
      <c r="I2399" s="385" t="s">
        <v>171</v>
      </c>
      <c r="J2399" s="489"/>
      <c r="K2399" s="450"/>
      <c r="L2399" s="450"/>
      <c r="M2399" s="490" t="s">
        <v>37</v>
      </c>
      <c r="N2399" s="490">
        <v>1</v>
      </c>
    </row>
    <row r="2400" spans="1:14" s="384" customFormat="1" ht="40.5" outlineLevel="1" collapsed="1">
      <c r="A2400" s="489" t="s">
        <v>3009</v>
      </c>
      <c r="B2400" s="452" t="s">
        <v>298</v>
      </c>
      <c r="C2400" s="398" t="s">
        <v>49</v>
      </c>
      <c r="D2400" s="455" t="s">
        <v>1830</v>
      </c>
      <c r="E2400" s="385" t="s">
        <v>2916</v>
      </c>
      <c r="F2400" s="385" t="s">
        <v>303</v>
      </c>
      <c r="G2400" s="385"/>
      <c r="H2400" s="401" t="s">
        <v>3021</v>
      </c>
      <c r="I2400" s="385" t="str">
        <f>CONCATENATE(I2401," ","(",H2401,")","-",N2401," ",M2401)</f>
        <v>Текущий ремонт ТМ (ТМ 400/6/0,4)-1 шт.</v>
      </c>
      <c r="J2400" s="489" t="s">
        <v>366</v>
      </c>
      <c r="K2400" s="450">
        <v>44378</v>
      </c>
      <c r="L2400" s="450">
        <v>44407</v>
      </c>
      <c r="M2400" s="490"/>
      <c r="N2400" s="490"/>
    </row>
    <row r="2401" spans="1:14" hidden="1" outlineLevel="2">
      <c r="A2401" s="438"/>
      <c r="B2401" s="452" t="s">
        <v>298</v>
      </c>
      <c r="C2401" s="489" t="s">
        <v>49</v>
      </c>
      <c r="D2401" s="454" t="s">
        <v>1830</v>
      </c>
      <c r="E2401" s="385" t="s">
        <v>2916</v>
      </c>
      <c r="F2401" s="385"/>
      <c r="G2401" s="385"/>
      <c r="H2401" s="401" t="s">
        <v>3022</v>
      </c>
      <c r="I2401" s="385" t="s">
        <v>438</v>
      </c>
      <c r="J2401" s="489"/>
      <c r="K2401" s="450"/>
      <c r="L2401" s="450"/>
      <c r="M2401" s="490" t="s">
        <v>37</v>
      </c>
      <c r="N2401" s="490">
        <v>1</v>
      </c>
    </row>
    <row r="2402" spans="1:14" s="384" customFormat="1" ht="101.25" outlineLevel="1" collapsed="1">
      <c r="A2402" s="489" t="s">
        <v>3014</v>
      </c>
      <c r="B2402" s="452" t="s">
        <v>298</v>
      </c>
      <c r="C2402" s="398" t="s">
        <v>49</v>
      </c>
      <c r="D2402" s="455" t="s">
        <v>1830</v>
      </c>
      <c r="E2402" s="385" t="s">
        <v>3597</v>
      </c>
      <c r="F2402" s="385" t="s">
        <v>303</v>
      </c>
      <c r="G2402" s="385"/>
      <c r="H2402" s="401" t="s">
        <v>2969</v>
      </c>
      <c r="I2402" s="385" t="str">
        <f>CONCATENATE(I2403," ","(",H2403,")","-",N2403," ",M2403," ",I2404," ","(",H2404,")","-",N2404," ",M2404)</f>
        <v>Текущий ремонт ТМ (ТМ 630/6/0,4)-2 шт. Ремонт РУ10-0,4 кВ (Ремонт двери - 14 шт.
Ремонт рубильника - 10 шт.
Ремонт выключателя нагрузки - 4 шт.
Замена предохран - 12 шт.)-1 шт.</v>
      </c>
      <c r="J2402" s="489" t="s">
        <v>366</v>
      </c>
      <c r="K2402" s="450">
        <v>44348</v>
      </c>
      <c r="L2402" s="450">
        <v>44377</v>
      </c>
      <c r="M2402" s="490"/>
      <c r="N2402" s="490"/>
    </row>
    <row r="2403" spans="1:14" ht="40.5" hidden="1" outlineLevel="2">
      <c r="A2403" s="438"/>
      <c r="B2403" s="452" t="s">
        <v>298</v>
      </c>
      <c r="C2403" s="489" t="s">
        <v>49</v>
      </c>
      <c r="D2403" s="454" t="s">
        <v>1830</v>
      </c>
      <c r="E2403" s="385" t="s">
        <v>3024</v>
      </c>
      <c r="F2403" s="385"/>
      <c r="G2403" s="385"/>
      <c r="H2403" s="401" t="s">
        <v>3025</v>
      </c>
      <c r="I2403" s="385" t="s">
        <v>438</v>
      </c>
      <c r="J2403" s="489"/>
      <c r="K2403" s="450"/>
      <c r="L2403" s="450"/>
      <c r="M2403" s="490" t="s">
        <v>37</v>
      </c>
      <c r="N2403" s="490">
        <v>2</v>
      </c>
    </row>
    <row r="2404" spans="1:14" ht="81" hidden="1" outlineLevel="2">
      <c r="A2404" s="438"/>
      <c r="B2404" s="452" t="s">
        <v>298</v>
      </c>
      <c r="C2404" s="489" t="s">
        <v>49</v>
      </c>
      <c r="D2404" s="454" t="s">
        <v>1830</v>
      </c>
      <c r="E2404" s="385" t="s">
        <v>2970</v>
      </c>
      <c r="F2404" s="385"/>
      <c r="G2404" s="385"/>
      <c r="H2404" s="401" t="s">
        <v>3026</v>
      </c>
      <c r="I2404" s="385" t="s">
        <v>171</v>
      </c>
      <c r="J2404" s="489"/>
      <c r="K2404" s="450"/>
      <c r="L2404" s="450"/>
      <c r="M2404" s="490" t="s">
        <v>37</v>
      </c>
      <c r="N2404" s="490">
        <v>1</v>
      </c>
    </row>
    <row r="2405" spans="1:14" s="384" customFormat="1" ht="121.5" outlineLevel="1" collapsed="1">
      <c r="A2405" s="489" t="s">
        <v>3020</v>
      </c>
      <c r="B2405" s="452" t="s">
        <v>298</v>
      </c>
      <c r="C2405" s="398" t="s">
        <v>49</v>
      </c>
      <c r="D2405" s="455" t="s">
        <v>1830</v>
      </c>
      <c r="E2405" s="385" t="s">
        <v>3598</v>
      </c>
      <c r="F2405" s="385" t="s">
        <v>303</v>
      </c>
      <c r="G2405" s="385"/>
      <c r="H2405" s="401" t="s">
        <v>2973</v>
      </c>
      <c r="I2405" s="385" t="str">
        <f>CONCATENATE(I2406," ","(",H2406,")","-",N2406," ",M2406," ",I2407," ","(",H2407,")","-",N2407," ",M2407)</f>
        <v>Текущий ремонт ТМ (ТМ 400/10/0,4)-2 шт. Ремонт РУ10-0,4 кВ (Ремонт двери - 16 шт.
Ремонт рубильника - 14 шт.
Ремонт разъединителя - 2 шт.
Ремонт выключателя нагрузки - 3 шт.
Замена предохран - 12 шт.)-1 шт.</v>
      </c>
      <c r="J2405" s="489" t="s">
        <v>366</v>
      </c>
      <c r="K2405" s="450">
        <v>44409</v>
      </c>
      <c r="L2405" s="450">
        <v>44438</v>
      </c>
      <c r="M2405" s="490"/>
      <c r="N2405" s="490"/>
    </row>
    <row r="2406" spans="1:14" ht="40.5" hidden="1" outlineLevel="2">
      <c r="A2406" s="438"/>
      <c r="B2406" s="452" t="s">
        <v>298</v>
      </c>
      <c r="C2406" s="489" t="s">
        <v>49</v>
      </c>
      <c r="D2406" s="454" t="s">
        <v>1830</v>
      </c>
      <c r="E2406" s="385" t="s">
        <v>3028</v>
      </c>
      <c r="F2406" s="385"/>
      <c r="G2406" s="385"/>
      <c r="H2406" s="401" t="s">
        <v>3017</v>
      </c>
      <c r="I2406" s="385" t="s">
        <v>438</v>
      </c>
      <c r="J2406" s="489"/>
      <c r="K2406" s="450"/>
      <c r="L2406" s="450"/>
      <c r="M2406" s="490" t="s">
        <v>37</v>
      </c>
      <c r="N2406" s="490">
        <v>2</v>
      </c>
    </row>
    <row r="2407" spans="1:14" ht="101.25" hidden="1" outlineLevel="2">
      <c r="A2407" s="438"/>
      <c r="B2407" s="452" t="s">
        <v>298</v>
      </c>
      <c r="C2407" s="489" t="s">
        <v>49</v>
      </c>
      <c r="D2407" s="454" t="s">
        <v>1830</v>
      </c>
      <c r="E2407" s="385" t="s">
        <v>3029</v>
      </c>
      <c r="F2407" s="385"/>
      <c r="G2407" s="385"/>
      <c r="H2407" s="401" t="s">
        <v>3030</v>
      </c>
      <c r="I2407" s="385" t="s">
        <v>171</v>
      </c>
      <c r="J2407" s="489"/>
      <c r="K2407" s="450"/>
      <c r="L2407" s="450"/>
      <c r="M2407" s="490" t="s">
        <v>37</v>
      </c>
      <c r="N2407" s="490">
        <v>1</v>
      </c>
    </row>
    <row r="2408" spans="1:14" s="384" customFormat="1" ht="60.75" outlineLevel="1" collapsed="1">
      <c r="A2408" s="489" t="s">
        <v>3023</v>
      </c>
      <c r="B2408" s="452" t="s">
        <v>298</v>
      </c>
      <c r="C2408" s="398" t="s">
        <v>49</v>
      </c>
      <c r="D2408" s="455" t="s">
        <v>1830</v>
      </c>
      <c r="E2408" s="385" t="s">
        <v>3032</v>
      </c>
      <c r="F2408" s="385" t="s">
        <v>303</v>
      </c>
      <c r="G2408" s="385"/>
      <c r="H2408" s="401" t="s">
        <v>2977</v>
      </c>
      <c r="I2408" s="385" t="str">
        <f>CONCATENATE(I2409," ","(",H2409,")","-",N2409," ",M2409)</f>
        <v>Ремонт РУ10-0,4 кВ (Ремонт МВ - 9 шт.
Ремонт разъединителя - 21 шт.
Замена предохран - 9 шт.)-1 шт.</v>
      </c>
      <c r="J2408" s="489" t="s">
        <v>366</v>
      </c>
      <c r="K2408" s="450">
        <v>44440</v>
      </c>
      <c r="L2408" s="450">
        <v>44469</v>
      </c>
      <c r="M2408" s="490"/>
      <c r="N2408" s="490"/>
    </row>
    <row r="2409" spans="1:14" ht="60.75" hidden="1" outlineLevel="2">
      <c r="A2409" s="438"/>
      <c r="B2409" s="452" t="s">
        <v>298</v>
      </c>
      <c r="C2409" s="489" t="s">
        <v>49</v>
      </c>
      <c r="D2409" s="454" t="s">
        <v>1830</v>
      </c>
      <c r="E2409" s="385"/>
      <c r="F2409" s="385"/>
      <c r="G2409" s="385"/>
      <c r="H2409" s="401" t="s">
        <v>3033</v>
      </c>
      <c r="I2409" s="385" t="s">
        <v>171</v>
      </c>
      <c r="J2409" s="489"/>
      <c r="K2409" s="450"/>
      <c r="L2409" s="450"/>
      <c r="M2409" s="490" t="s">
        <v>37</v>
      </c>
      <c r="N2409" s="490">
        <v>1</v>
      </c>
    </row>
    <row r="2410" spans="1:14" s="384" customFormat="1" ht="60.75" outlineLevel="1" collapsed="1">
      <c r="A2410" s="489" t="s">
        <v>3027</v>
      </c>
      <c r="B2410" s="452" t="s">
        <v>298</v>
      </c>
      <c r="C2410" s="398" t="s">
        <v>49</v>
      </c>
      <c r="D2410" s="455" t="s">
        <v>1830</v>
      </c>
      <c r="E2410" s="490" t="s">
        <v>3599</v>
      </c>
      <c r="F2410" s="385" t="s">
        <v>303</v>
      </c>
      <c r="G2410" s="385"/>
      <c r="H2410" s="401" t="s">
        <v>2981</v>
      </c>
      <c r="I2410" s="385" t="str">
        <f>CONCATENATE(I2411," ","(",H2411,")","-",N2411," ",M2411," ",I2412," ","(",H2412,")","-",N2412," ",M2412)</f>
        <v>Текущий ремонт ТМ (ТМ 630/6/0,4)-1 шт. Ремонт РУ10-0,4 кВ (Ремонт МВ - 10 шт.
Ремонт разъединителя - 18 шт.)-1 шт.</v>
      </c>
      <c r="J2410" s="489" t="s">
        <v>366</v>
      </c>
      <c r="K2410" s="450">
        <v>44440</v>
      </c>
      <c r="L2410" s="450">
        <v>44469</v>
      </c>
      <c r="M2410" s="490"/>
      <c r="N2410" s="490"/>
    </row>
    <row r="2411" spans="1:14" hidden="1" outlineLevel="2">
      <c r="A2411" s="438"/>
      <c r="B2411" s="452" t="s">
        <v>298</v>
      </c>
      <c r="C2411" s="489" t="s">
        <v>49</v>
      </c>
      <c r="D2411" s="454" t="s">
        <v>1830</v>
      </c>
      <c r="E2411" s="385" t="s">
        <v>3035</v>
      </c>
      <c r="F2411" s="385"/>
      <c r="G2411" s="385"/>
      <c r="H2411" s="401" t="s">
        <v>3025</v>
      </c>
      <c r="I2411" s="385" t="s">
        <v>438</v>
      </c>
      <c r="J2411" s="489"/>
      <c r="K2411" s="450"/>
      <c r="L2411" s="450"/>
      <c r="M2411" s="490" t="s">
        <v>37</v>
      </c>
      <c r="N2411" s="490">
        <v>1</v>
      </c>
    </row>
    <row r="2412" spans="1:14" ht="40.5" hidden="1" outlineLevel="2">
      <c r="A2412" s="438"/>
      <c r="B2412" s="452" t="s">
        <v>298</v>
      </c>
      <c r="C2412" s="489" t="s">
        <v>49</v>
      </c>
      <c r="D2412" s="454" t="s">
        <v>1830</v>
      </c>
      <c r="E2412" s="385" t="s">
        <v>2982</v>
      </c>
      <c r="F2412" s="385"/>
      <c r="G2412" s="385"/>
      <c r="H2412" s="401" t="s">
        <v>3036</v>
      </c>
      <c r="I2412" s="385" t="s">
        <v>171</v>
      </c>
      <c r="J2412" s="489"/>
      <c r="K2412" s="450"/>
      <c r="L2412" s="450"/>
      <c r="M2412" s="490" t="s">
        <v>37</v>
      </c>
      <c r="N2412" s="490">
        <v>1</v>
      </c>
    </row>
    <row r="2413" spans="1:14" s="384" customFormat="1" ht="40.5" outlineLevel="1" collapsed="1">
      <c r="A2413" s="489" t="s">
        <v>3031</v>
      </c>
      <c r="B2413" s="452" t="s">
        <v>298</v>
      </c>
      <c r="C2413" s="398" t="s">
        <v>49</v>
      </c>
      <c r="D2413" s="455" t="s">
        <v>1830</v>
      </c>
      <c r="E2413" s="490" t="s">
        <v>2949</v>
      </c>
      <c r="F2413" s="385" t="s">
        <v>303</v>
      </c>
      <c r="G2413" s="385"/>
      <c r="H2413" s="401" t="s">
        <v>2950</v>
      </c>
      <c r="I2413" s="385" t="str">
        <f>CONCATENATE(I2414," ","(",H2414,")","-",N2414," ",M2414)</f>
        <v>Ремонт РУ10-0,4 кВ (Замена предохран - 6 шт.)-1 шт.</v>
      </c>
      <c r="J2413" s="489" t="s">
        <v>366</v>
      </c>
      <c r="K2413" s="450">
        <v>44440</v>
      </c>
      <c r="L2413" s="450">
        <v>44469</v>
      </c>
      <c r="M2413" s="490"/>
      <c r="N2413" s="490"/>
    </row>
    <row r="2414" spans="1:14" hidden="1" outlineLevel="2">
      <c r="A2414" s="438"/>
      <c r="B2414" s="452" t="s">
        <v>298</v>
      </c>
      <c r="C2414" s="489" t="s">
        <v>49</v>
      </c>
      <c r="D2414" s="454" t="s">
        <v>1830</v>
      </c>
      <c r="E2414" s="385"/>
      <c r="F2414" s="385"/>
      <c r="G2414" s="385"/>
      <c r="H2414" s="401" t="s">
        <v>3038</v>
      </c>
      <c r="I2414" s="385" t="s">
        <v>171</v>
      </c>
      <c r="J2414" s="489"/>
      <c r="K2414" s="450"/>
      <c r="L2414" s="450"/>
      <c r="M2414" s="490" t="s">
        <v>37</v>
      </c>
      <c r="N2414" s="490">
        <v>1</v>
      </c>
    </row>
    <row r="2415" spans="1:14" s="384" customFormat="1" ht="40.5" outlineLevel="1" collapsed="1">
      <c r="A2415" s="489" t="s">
        <v>3034</v>
      </c>
      <c r="B2415" s="452" t="s">
        <v>298</v>
      </c>
      <c r="C2415" s="398" t="s">
        <v>2315</v>
      </c>
      <c r="D2415" s="455" t="s">
        <v>1830</v>
      </c>
      <c r="E2415" s="490" t="s">
        <v>3040</v>
      </c>
      <c r="F2415" s="385" t="s">
        <v>303</v>
      </c>
      <c r="G2415" s="385"/>
      <c r="H2415" s="401" t="s">
        <v>3041</v>
      </c>
      <c r="I2415" s="385" t="str">
        <f>CONCATENATE(I2416," ","(",H2416,")","-",N2416," ",M2416)</f>
        <v>Ремонт РУ10-0,4 кВ (Замена  разъединителя выключателем нагрузки - 2 шт.)-1 шт.</v>
      </c>
      <c r="J2415" s="489" t="s">
        <v>366</v>
      </c>
      <c r="K2415" s="450">
        <v>44317</v>
      </c>
      <c r="L2415" s="450">
        <v>44347</v>
      </c>
      <c r="M2415" s="490"/>
      <c r="N2415" s="490"/>
    </row>
    <row r="2416" spans="1:14" ht="40.5" hidden="1" outlineLevel="2">
      <c r="A2416" s="438"/>
      <c r="B2416" s="452" t="s">
        <v>298</v>
      </c>
      <c r="C2416" s="398" t="s">
        <v>2315</v>
      </c>
      <c r="D2416" s="454" t="s">
        <v>1830</v>
      </c>
      <c r="E2416" s="385"/>
      <c r="F2416" s="385" t="s">
        <v>303</v>
      </c>
      <c r="G2416" s="385"/>
      <c r="H2416" s="401" t="s">
        <v>3042</v>
      </c>
      <c r="I2416" s="385" t="s">
        <v>171</v>
      </c>
      <c r="J2416" s="489"/>
      <c r="K2416" s="450"/>
      <c r="L2416" s="450"/>
      <c r="M2416" s="490" t="s">
        <v>37</v>
      </c>
      <c r="N2416" s="490">
        <v>1</v>
      </c>
    </row>
    <row r="2417" spans="1:14" s="384" customFormat="1" ht="101.25" outlineLevel="1" collapsed="1">
      <c r="A2417" s="489" t="s">
        <v>3037</v>
      </c>
      <c r="B2417" s="452" t="s">
        <v>298</v>
      </c>
      <c r="C2417" s="398" t="s">
        <v>2315</v>
      </c>
      <c r="D2417" s="455" t="s">
        <v>1830</v>
      </c>
      <c r="E2417" s="490" t="s">
        <v>3044</v>
      </c>
      <c r="F2417" s="385" t="s">
        <v>303</v>
      </c>
      <c r="G2417" s="385"/>
      <c r="H2417" s="401" t="s">
        <v>3045</v>
      </c>
      <c r="I2417" s="385" t="str">
        <f>CONCATENATE(I2418," ","(",H2418,")","-",N2418," ",M2418," ",I2419," ","(",H2419,")","-",N2419," ",M2419)</f>
        <v>Ремонт РУ10-0,4 кВ (Замена рубильника - 1шт., Замена  разъединителя выключателем нагрузки - 2 шт, Замена предохранителя - 6 шт.)-1 шт. Ремонт строительной части ТП, КТП (Покраска, чистка от грязи и ржавчины 10 м2)-1 шт.</v>
      </c>
      <c r="J2417" s="489" t="s">
        <v>365</v>
      </c>
      <c r="K2417" s="450">
        <v>44378</v>
      </c>
      <c r="L2417" s="450">
        <v>44408</v>
      </c>
      <c r="M2417" s="490"/>
      <c r="N2417" s="490"/>
    </row>
    <row r="2418" spans="1:14" ht="60.75" hidden="1" outlineLevel="2">
      <c r="A2418" s="438"/>
      <c r="B2418" s="452" t="s">
        <v>298</v>
      </c>
      <c r="C2418" s="398" t="s">
        <v>2315</v>
      </c>
      <c r="D2418" s="454" t="s">
        <v>1830</v>
      </c>
      <c r="E2418" s="385"/>
      <c r="F2418" s="385" t="s">
        <v>303</v>
      </c>
      <c r="G2418" s="385"/>
      <c r="H2418" s="401" t="s">
        <v>3046</v>
      </c>
      <c r="I2418" s="385" t="s">
        <v>171</v>
      </c>
      <c r="J2418" s="489"/>
      <c r="K2418" s="450"/>
      <c r="L2418" s="450"/>
      <c r="M2418" s="490" t="s">
        <v>37</v>
      </c>
      <c r="N2418" s="490">
        <v>1</v>
      </c>
    </row>
    <row r="2419" spans="1:14" ht="40.5" hidden="1" outlineLevel="2">
      <c r="A2419" s="438"/>
      <c r="B2419" s="452" t="s">
        <v>298</v>
      </c>
      <c r="C2419" s="455" t="s">
        <v>2315</v>
      </c>
      <c r="D2419" s="454" t="s">
        <v>1830</v>
      </c>
      <c r="E2419" s="385"/>
      <c r="F2419" s="385"/>
      <c r="G2419" s="385"/>
      <c r="H2419" s="401" t="s">
        <v>3047</v>
      </c>
      <c r="I2419" s="385" t="s">
        <v>164</v>
      </c>
      <c r="J2419" s="489"/>
      <c r="K2419" s="450"/>
      <c r="L2419" s="450"/>
      <c r="M2419" s="490" t="s">
        <v>37</v>
      </c>
      <c r="N2419" s="490">
        <v>1</v>
      </c>
    </row>
    <row r="2420" spans="1:14" s="384" customFormat="1" ht="60.75" outlineLevel="1" collapsed="1">
      <c r="A2420" s="489" t="s">
        <v>3039</v>
      </c>
      <c r="B2420" s="452" t="s">
        <v>298</v>
      </c>
      <c r="C2420" s="398" t="s">
        <v>2315</v>
      </c>
      <c r="D2420" s="455" t="s">
        <v>1830</v>
      </c>
      <c r="E2420" s="490" t="s">
        <v>3049</v>
      </c>
      <c r="F2420" s="385" t="s">
        <v>303</v>
      </c>
      <c r="G2420" s="385"/>
      <c r="H2420" s="401" t="s">
        <v>3050</v>
      </c>
      <c r="I2420" s="385" t="str">
        <f>CONCATENATE(I2421," ","(",H2421,")","-",N2421," ",M2421," ",I2422," ","(",H2422,")","-",N2422," ",M2422)</f>
        <v>Ремонт РУ10-0,4 кВ (Замена рубильника - 2шт..)-1 шт. Ремонт строительной части ТП, КТП (Покраска, чистка от грязи и ржавчины 10 м2)-1 шт.</v>
      </c>
      <c r="J2420" s="489" t="s">
        <v>365</v>
      </c>
      <c r="K2420" s="450">
        <v>44348</v>
      </c>
      <c r="L2420" s="450">
        <v>44377</v>
      </c>
      <c r="M2420" s="490"/>
      <c r="N2420" s="490"/>
    </row>
    <row r="2421" spans="1:14" ht="40.5" hidden="1" outlineLevel="2">
      <c r="A2421" s="438"/>
      <c r="B2421" s="452" t="s">
        <v>298</v>
      </c>
      <c r="C2421" s="455" t="s">
        <v>2315</v>
      </c>
      <c r="D2421" s="454" t="s">
        <v>1830</v>
      </c>
      <c r="E2421" s="385"/>
      <c r="F2421" s="385" t="s">
        <v>303</v>
      </c>
      <c r="G2421" s="385"/>
      <c r="H2421" s="401" t="s">
        <v>3051</v>
      </c>
      <c r="I2421" s="385" t="s">
        <v>171</v>
      </c>
      <c r="J2421" s="489"/>
      <c r="K2421" s="450"/>
      <c r="L2421" s="450"/>
      <c r="M2421" s="490" t="s">
        <v>37</v>
      </c>
      <c r="N2421" s="490">
        <v>1</v>
      </c>
    </row>
    <row r="2422" spans="1:14" ht="40.5" hidden="1" outlineLevel="2">
      <c r="A2422" s="438"/>
      <c r="B2422" s="452" t="s">
        <v>298</v>
      </c>
      <c r="C2422" s="455" t="s">
        <v>2315</v>
      </c>
      <c r="D2422" s="454" t="s">
        <v>1830</v>
      </c>
      <c r="E2422" s="385"/>
      <c r="F2422" s="385"/>
      <c r="G2422" s="385"/>
      <c r="H2422" s="401" t="s">
        <v>3047</v>
      </c>
      <c r="I2422" s="385" t="s">
        <v>164</v>
      </c>
      <c r="J2422" s="489"/>
      <c r="K2422" s="450"/>
      <c r="L2422" s="450"/>
      <c r="M2422" s="490" t="s">
        <v>37</v>
      </c>
      <c r="N2422" s="490">
        <v>1</v>
      </c>
    </row>
    <row r="2423" spans="1:14" s="384" customFormat="1" ht="60.75" outlineLevel="1" collapsed="1">
      <c r="A2423" s="489" t="s">
        <v>3043</v>
      </c>
      <c r="B2423" s="452" t="s">
        <v>298</v>
      </c>
      <c r="C2423" s="398" t="s">
        <v>1989</v>
      </c>
      <c r="D2423" s="455" t="s">
        <v>1830</v>
      </c>
      <c r="E2423" s="490" t="s">
        <v>3053</v>
      </c>
      <c r="F2423" s="385" t="s">
        <v>2169</v>
      </c>
      <c r="G2423" s="385"/>
      <c r="H2423" s="401" t="s">
        <v>3054</v>
      </c>
      <c r="I2423" s="385" t="str">
        <f>CONCATENATE(I2424," ","(",H2424,")","-",N2424," ",M2424," ",I2425," ","(",H2425,")","-",N2425," ",M2425)</f>
        <v>Ремонт РУ10-0,4 кВ (ТР 1Т
ТР РВ - 1 шт)-1 шт. Ремонт строительной части ТП, КТП (Окраска оборудования - 86,75 м2)-1 шт.</v>
      </c>
      <c r="J2423" s="489" t="s">
        <v>366</v>
      </c>
      <c r="K2423" s="450">
        <v>44378</v>
      </c>
      <c r="L2423" s="450">
        <v>44408</v>
      </c>
      <c r="M2423" s="490"/>
      <c r="N2423" s="490"/>
    </row>
    <row r="2424" spans="1:14" ht="40.5" hidden="1" outlineLevel="2">
      <c r="A2424" s="438"/>
      <c r="B2424" s="452" t="s">
        <v>298</v>
      </c>
      <c r="C2424" s="398" t="s">
        <v>1989</v>
      </c>
      <c r="D2424" s="454" t="s">
        <v>1830</v>
      </c>
      <c r="E2424" s="385"/>
      <c r="F2424" s="385"/>
      <c r="G2424" s="385"/>
      <c r="H2424" s="401" t="s">
        <v>3055</v>
      </c>
      <c r="I2424" s="385" t="s">
        <v>171</v>
      </c>
      <c r="J2424" s="489"/>
      <c r="K2424" s="450"/>
      <c r="L2424" s="450"/>
      <c r="M2424" s="490" t="s">
        <v>37</v>
      </c>
      <c r="N2424" s="490">
        <v>1</v>
      </c>
    </row>
    <row r="2425" spans="1:14" hidden="1" outlineLevel="2">
      <c r="A2425" s="438"/>
      <c r="B2425" s="452" t="s">
        <v>298</v>
      </c>
      <c r="C2425" s="398" t="s">
        <v>1989</v>
      </c>
      <c r="D2425" s="454" t="s">
        <v>1830</v>
      </c>
      <c r="E2425" s="385"/>
      <c r="F2425" s="385"/>
      <c r="G2425" s="385"/>
      <c r="H2425" s="401" t="s">
        <v>3056</v>
      </c>
      <c r="I2425" s="385" t="s">
        <v>164</v>
      </c>
      <c r="J2425" s="489"/>
      <c r="K2425" s="450"/>
      <c r="L2425" s="450"/>
      <c r="M2425" s="490" t="s">
        <v>37</v>
      </c>
      <c r="N2425" s="490">
        <v>1</v>
      </c>
    </row>
    <row r="2426" spans="1:14" s="384" customFormat="1" ht="40.5" outlineLevel="1" collapsed="1">
      <c r="A2426" s="489" t="s">
        <v>3048</v>
      </c>
      <c r="B2426" s="452" t="s">
        <v>298</v>
      </c>
      <c r="C2426" s="398" t="s">
        <v>1989</v>
      </c>
      <c r="D2426" s="455" t="s">
        <v>1830</v>
      </c>
      <c r="E2426" s="490" t="s">
        <v>3058</v>
      </c>
      <c r="F2426" s="385" t="s">
        <v>2169</v>
      </c>
      <c r="G2426" s="385"/>
      <c r="H2426" s="401" t="s">
        <v>3059</v>
      </c>
      <c r="I2426" s="385" t="str">
        <f>CONCATENATE(I2427," ","(",H2427,")","-",N2427," ",M2427," ",I2428," ","(",H2428,")","-",N2428," ",M2428)</f>
        <v>Ремонт РУ10-0,4 кВ (ТР 1Т)-1 шт. Ремонт строительной части ТП, КТП (Окраска оборудования -  81,52м2)-1 шт.</v>
      </c>
      <c r="J2426" s="489" t="s">
        <v>366</v>
      </c>
      <c r="K2426" s="450">
        <v>44409</v>
      </c>
      <c r="L2426" s="450">
        <v>44439</v>
      </c>
      <c r="M2426" s="490"/>
      <c r="N2426" s="490"/>
    </row>
    <row r="2427" spans="1:14" hidden="1" outlineLevel="2">
      <c r="A2427" s="438"/>
      <c r="B2427" s="452" t="s">
        <v>298</v>
      </c>
      <c r="C2427" s="398" t="s">
        <v>1989</v>
      </c>
      <c r="D2427" s="454" t="s">
        <v>1830</v>
      </c>
      <c r="E2427" s="385"/>
      <c r="F2427" s="385"/>
      <c r="G2427" s="385"/>
      <c r="H2427" s="401" t="s">
        <v>3060</v>
      </c>
      <c r="I2427" s="385" t="s">
        <v>171</v>
      </c>
      <c r="J2427" s="489"/>
      <c r="K2427" s="450"/>
      <c r="L2427" s="450"/>
      <c r="M2427" s="490" t="s">
        <v>37</v>
      </c>
      <c r="N2427" s="490">
        <v>1</v>
      </c>
    </row>
    <row r="2428" spans="1:14" hidden="1" outlineLevel="2">
      <c r="A2428" s="438"/>
      <c r="B2428" s="452" t="s">
        <v>298</v>
      </c>
      <c r="C2428" s="398" t="s">
        <v>1989</v>
      </c>
      <c r="D2428" s="454" t="s">
        <v>1830</v>
      </c>
      <c r="E2428" s="385"/>
      <c r="F2428" s="385"/>
      <c r="G2428" s="385"/>
      <c r="H2428" s="401" t="s">
        <v>3061</v>
      </c>
      <c r="I2428" s="385" t="s">
        <v>164</v>
      </c>
      <c r="J2428" s="489"/>
      <c r="K2428" s="450"/>
      <c r="L2428" s="450"/>
      <c r="M2428" s="490" t="s">
        <v>37</v>
      </c>
      <c r="N2428" s="490">
        <v>1</v>
      </c>
    </row>
    <row r="2429" spans="1:14" s="384" customFormat="1" ht="40.5" outlineLevel="1" collapsed="1">
      <c r="A2429" s="489" t="s">
        <v>3052</v>
      </c>
      <c r="B2429" s="452" t="s">
        <v>298</v>
      </c>
      <c r="C2429" s="398" t="s">
        <v>1989</v>
      </c>
      <c r="D2429" s="455" t="s">
        <v>1830</v>
      </c>
      <c r="E2429" s="490" t="s">
        <v>3063</v>
      </c>
      <c r="F2429" s="385" t="s">
        <v>2169</v>
      </c>
      <c r="G2429" s="385"/>
      <c r="H2429" s="401" t="s">
        <v>3064</v>
      </c>
      <c r="I2429" s="385" t="str">
        <f>CONCATENATE(I2430," ","(",H2430,")","-",N2430," ",M2430," ",I2431," ","(",H2431,")","-",N2431," ",M2431)</f>
        <v>Ремонт РУ10-0,4 кВ (ТР 1Т)-1 шт. Ремонт строительной части ТП, КТП (Окраска оборудования - 92,37 м2)-1 шт.</v>
      </c>
      <c r="J2429" s="489" t="s">
        <v>366</v>
      </c>
      <c r="K2429" s="450">
        <v>44409</v>
      </c>
      <c r="L2429" s="450">
        <v>44439</v>
      </c>
      <c r="M2429" s="490"/>
      <c r="N2429" s="490"/>
    </row>
    <row r="2430" spans="1:14" hidden="1" outlineLevel="2">
      <c r="A2430" s="438"/>
      <c r="B2430" s="452" t="s">
        <v>298</v>
      </c>
      <c r="C2430" s="398" t="s">
        <v>1989</v>
      </c>
      <c r="D2430" s="454" t="s">
        <v>1830</v>
      </c>
      <c r="E2430" s="385"/>
      <c r="F2430" s="385"/>
      <c r="G2430" s="385"/>
      <c r="H2430" s="401" t="s">
        <v>3060</v>
      </c>
      <c r="I2430" s="385" t="s">
        <v>171</v>
      </c>
      <c r="J2430" s="489"/>
      <c r="K2430" s="450"/>
      <c r="L2430" s="450"/>
      <c r="M2430" s="490" t="s">
        <v>37</v>
      </c>
      <c r="N2430" s="490">
        <v>1</v>
      </c>
    </row>
    <row r="2431" spans="1:14" hidden="1" outlineLevel="2">
      <c r="A2431" s="438"/>
      <c r="B2431" s="452" t="s">
        <v>298</v>
      </c>
      <c r="C2431" s="398" t="s">
        <v>1989</v>
      </c>
      <c r="D2431" s="454" t="s">
        <v>1830</v>
      </c>
      <c r="E2431" s="385"/>
      <c r="F2431" s="385"/>
      <c r="G2431" s="385"/>
      <c r="H2431" s="401" t="s">
        <v>3065</v>
      </c>
      <c r="I2431" s="385" t="s">
        <v>164</v>
      </c>
      <c r="J2431" s="489"/>
      <c r="K2431" s="450"/>
      <c r="L2431" s="450"/>
      <c r="M2431" s="490" t="s">
        <v>37</v>
      </c>
      <c r="N2431" s="490">
        <v>1</v>
      </c>
    </row>
    <row r="2432" spans="1:14" s="384" customFormat="1" ht="40.5" outlineLevel="1" collapsed="1">
      <c r="A2432" s="489" t="s">
        <v>3057</v>
      </c>
      <c r="B2432" s="452" t="s">
        <v>298</v>
      </c>
      <c r="C2432" s="398" t="s">
        <v>1989</v>
      </c>
      <c r="D2432" s="455" t="s">
        <v>1830</v>
      </c>
      <c r="E2432" s="490" t="s">
        <v>3067</v>
      </c>
      <c r="F2432" s="385" t="s">
        <v>2169</v>
      </c>
      <c r="G2432" s="385"/>
      <c r="H2432" s="401" t="s">
        <v>3068</v>
      </c>
      <c r="I2432" s="385" t="str">
        <f>CONCATENATE(I2433," ","(",H2433,")","-",N2433," ",M2433," ",I2434," ","(",H2434,")","-",N2434," ",M2434)</f>
        <v>Ремонт РУ10-0,4 кВ (ТР 1Т)-1 шт. Ремонт строительной части ТП, КТП (Окраска оборудования - 18 м2)-1 шт.</v>
      </c>
      <c r="J2432" s="489" t="s">
        <v>366</v>
      </c>
      <c r="K2432" s="450">
        <v>44440</v>
      </c>
      <c r="L2432" s="450">
        <v>44469</v>
      </c>
      <c r="M2432" s="490"/>
      <c r="N2432" s="490"/>
    </row>
    <row r="2433" spans="1:14" hidden="1" outlineLevel="2">
      <c r="A2433" s="438"/>
      <c r="B2433" s="452" t="s">
        <v>298</v>
      </c>
      <c r="C2433" s="398" t="s">
        <v>1989</v>
      </c>
      <c r="D2433" s="454" t="s">
        <v>1830</v>
      </c>
      <c r="E2433" s="385"/>
      <c r="F2433" s="385"/>
      <c r="G2433" s="385"/>
      <c r="H2433" s="401" t="s">
        <v>3060</v>
      </c>
      <c r="I2433" s="385" t="s">
        <v>171</v>
      </c>
      <c r="J2433" s="489"/>
      <c r="K2433" s="450"/>
      <c r="L2433" s="450"/>
      <c r="M2433" s="490" t="s">
        <v>37</v>
      </c>
      <c r="N2433" s="490">
        <v>1</v>
      </c>
    </row>
    <row r="2434" spans="1:14" hidden="1" outlineLevel="2">
      <c r="A2434" s="438"/>
      <c r="B2434" s="452" t="s">
        <v>298</v>
      </c>
      <c r="C2434" s="398" t="s">
        <v>1989</v>
      </c>
      <c r="D2434" s="454" t="s">
        <v>1830</v>
      </c>
      <c r="E2434" s="385"/>
      <c r="F2434" s="385"/>
      <c r="G2434" s="385"/>
      <c r="H2434" s="401" t="s">
        <v>3069</v>
      </c>
      <c r="I2434" s="385" t="s">
        <v>164</v>
      </c>
      <c r="J2434" s="489"/>
      <c r="K2434" s="450"/>
      <c r="L2434" s="450"/>
      <c r="M2434" s="490" t="s">
        <v>37</v>
      </c>
      <c r="N2434" s="490">
        <v>1</v>
      </c>
    </row>
    <row r="2435" spans="1:14" s="384" customFormat="1" ht="121.5" outlineLevel="1" collapsed="1">
      <c r="A2435" s="489" t="s">
        <v>3062</v>
      </c>
      <c r="B2435" s="452" t="s">
        <v>298</v>
      </c>
      <c r="C2435" s="398" t="s">
        <v>1989</v>
      </c>
      <c r="D2435" s="455" t="s">
        <v>1830</v>
      </c>
      <c r="E2435" s="490" t="s">
        <v>3071</v>
      </c>
      <c r="F2435" s="385" t="s">
        <v>2169</v>
      </c>
      <c r="G2435" s="385"/>
      <c r="H2435" s="401" t="s">
        <v>3072</v>
      </c>
      <c r="I2435" s="385" t="str">
        <f>CONCATENATE(I2436," ","(",H2436,")","-",N2436," ",M2436," ",I2437," ","(",H2437,")","-",N2437," ",M2437)</f>
        <v>Ремонт РУ10-0,4 кВ (ТР 1Т, 2Т
ТР ВН - 4 шт
Замена рубильника - 2 шт
ТР рубильника - 8 шт)-1 шт. Ремонт строительной части ТП, КТП (Окраска оборудования - 7 м2
Установка замков - 4 шт)-1 шт.</v>
      </c>
      <c r="J2435" s="489" t="s">
        <v>366</v>
      </c>
      <c r="K2435" s="450">
        <v>44378</v>
      </c>
      <c r="L2435" s="450">
        <v>44408</v>
      </c>
      <c r="M2435" s="490"/>
      <c r="N2435" s="490"/>
    </row>
    <row r="2436" spans="1:14" ht="81" hidden="1" outlineLevel="2">
      <c r="A2436" s="438"/>
      <c r="B2436" s="452" t="s">
        <v>298</v>
      </c>
      <c r="C2436" s="398" t="s">
        <v>1989</v>
      </c>
      <c r="D2436" s="454" t="s">
        <v>1830</v>
      </c>
      <c r="E2436" s="385"/>
      <c r="F2436" s="385"/>
      <c r="G2436" s="385"/>
      <c r="H2436" s="401" t="s">
        <v>3073</v>
      </c>
      <c r="I2436" s="385" t="s">
        <v>171</v>
      </c>
      <c r="J2436" s="489"/>
      <c r="K2436" s="450"/>
      <c r="L2436" s="450"/>
      <c r="M2436" s="490" t="s">
        <v>37</v>
      </c>
      <c r="N2436" s="490">
        <v>1</v>
      </c>
    </row>
    <row r="2437" spans="1:14" ht="40.5" hidden="1" outlineLevel="2">
      <c r="A2437" s="438"/>
      <c r="B2437" s="452" t="s">
        <v>298</v>
      </c>
      <c r="C2437" s="398" t="s">
        <v>1989</v>
      </c>
      <c r="D2437" s="454" t="s">
        <v>1830</v>
      </c>
      <c r="E2437" s="385"/>
      <c r="F2437" s="385"/>
      <c r="G2437" s="385"/>
      <c r="H2437" s="401" t="s">
        <v>3074</v>
      </c>
      <c r="I2437" s="385" t="s">
        <v>164</v>
      </c>
      <c r="J2437" s="489"/>
      <c r="K2437" s="450"/>
      <c r="L2437" s="450"/>
      <c r="M2437" s="490" t="s">
        <v>37</v>
      </c>
      <c r="N2437" s="490">
        <v>1</v>
      </c>
    </row>
    <row r="2438" spans="1:14" s="384" customFormat="1" ht="162" outlineLevel="1" collapsed="1">
      <c r="A2438" s="489" t="s">
        <v>3066</v>
      </c>
      <c r="B2438" s="452" t="s">
        <v>298</v>
      </c>
      <c r="C2438" s="398" t="s">
        <v>1989</v>
      </c>
      <c r="D2438" s="455" t="s">
        <v>1830</v>
      </c>
      <c r="E2438" s="490" t="s">
        <v>3076</v>
      </c>
      <c r="F2438" s="385" t="s">
        <v>2169</v>
      </c>
      <c r="G2438" s="385"/>
      <c r="H2438" s="401" t="s">
        <v>3077</v>
      </c>
      <c r="I2438" s="385" t="str">
        <f>CONCATENATE(I2439," ","(",H2439,")","-",N2439," ",M2439," ",I2440," ","(",H2440,")","-",N2440," ",M2440)</f>
        <v>Ремонт РУ10-0,4 кВ (ТР 1Т, 2Т
ТР РВ - 2 шт
ТР ВН - 3 шт
Замена рубильника 1 шт
ТР рубильника - 2 шт
ТР АВ - 7 шт)-1 шт. Ремонт строительной части ТП, КТП (Окраска оборудования - 25 м2
Установка замков - 3 шт)-1 шт.</v>
      </c>
      <c r="J2438" s="489" t="s">
        <v>366</v>
      </c>
      <c r="K2438" s="450">
        <v>44440</v>
      </c>
      <c r="L2438" s="450">
        <v>44469</v>
      </c>
      <c r="M2438" s="490"/>
      <c r="N2438" s="490"/>
    </row>
    <row r="2439" spans="1:14" ht="121.5" hidden="1" outlineLevel="2">
      <c r="A2439" s="438"/>
      <c r="B2439" s="452" t="s">
        <v>298</v>
      </c>
      <c r="C2439" s="398" t="s">
        <v>1989</v>
      </c>
      <c r="D2439" s="454" t="s">
        <v>1830</v>
      </c>
      <c r="E2439" s="385"/>
      <c r="F2439" s="385"/>
      <c r="G2439" s="385"/>
      <c r="H2439" s="401" t="s">
        <v>3078</v>
      </c>
      <c r="I2439" s="385" t="s">
        <v>171</v>
      </c>
      <c r="J2439" s="489"/>
      <c r="K2439" s="450"/>
      <c r="L2439" s="450"/>
      <c r="M2439" s="490" t="s">
        <v>37</v>
      </c>
      <c r="N2439" s="490">
        <v>1</v>
      </c>
    </row>
    <row r="2440" spans="1:14" ht="40.5" hidden="1" outlineLevel="2">
      <c r="A2440" s="438"/>
      <c r="B2440" s="452" t="s">
        <v>298</v>
      </c>
      <c r="C2440" s="398" t="s">
        <v>1989</v>
      </c>
      <c r="D2440" s="454" t="s">
        <v>1830</v>
      </c>
      <c r="E2440" s="385"/>
      <c r="F2440" s="385"/>
      <c r="G2440" s="385"/>
      <c r="H2440" s="401" t="s">
        <v>3079</v>
      </c>
      <c r="I2440" s="385" t="s">
        <v>164</v>
      </c>
      <c r="J2440" s="489"/>
      <c r="K2440" s="450"/>
      <c r="L2440" s="450"/>
      <c r="M2440" s="490" t="s">
        <v>37</v>
      </c>
      <c r="N2440" s="490">
        <v>1</v>
      </c>
    </row>
    <row r="2441" spans="1:14" s="384" customFormat="1" ht="121.5" outlineLevel="1" collapsed="1">
      <c r="A2441" s="489" t="s">
        <v>3070</v>
      </c>
      <c r="B2441" s="452" t="s">
        <v>298</v>
      </c>
      <c r="C2441" s="398" t="s">
        <v>1989</v>
      </c>
      <c r="D2441" s="455" t="s">
        <v>1830</v>
      </c>
      <c r="E2441" s="490" t="s">
        <v>3081</v>
      </c>
      <c r="F2441" s="385" t="s">
        <v>2169</v>
      </c>
      <c r="G2441" s="385"/>
      <c r="H2441" s="401" t="s">
        <v>3082</v>
      </c>
      <c r="I2441" s="385" t="str">
        <f>CONCATENATE(I2442," ","(",H2442,")","-",N2442," ",M2442," ",I2443," ","(",H2443,")","-",N2443," ",M2443)</f>
        <v>Ремонт РУ10-0,4 кВ (ТР 1Т, 2Т
ТР РВ - 9 шт
ТР ВН -2 шт
Замена рубильника - 2 шт
Ремонт рубильника - 4 шт)-1 шт. Ремонт строительной части ТП, КТП (Окраска оборудования - 17 м2)-1 шт.</v>
      </c>
      <c r="J2441" s="489" t="s">
        <v>366</v>
      </c>
      <c r="K2441" s="450">
        <v>44470</v>
      </c>
      <c r="L2441" s="450">
        <v>44500</v>
      </c>
      <c r="M2441" s="490"/>
      <c r="N2441" s="490"/>
    </row>
    <row r="2442" spans="1:14" ht="101.25" hidden="1" outlineLevel="2">
      <c r="A2442" s="438"/>
      <c r="B2442" s="452" t="s">
        <v>298</v>
      </c>
      <c r="C2442" s="398" t="s">
        <v>1989</v>
      </c>
      <c r="D2442" s="454" t="s">
        <v>1830</v>
      </c>
      <c r="E2442" s="385"/>
      <c r="F2442" s="385"/>
      <c r="G2442" s="385"/>
      <c r="H2442" s="401" t="s">
        <v>3083</v>
      </c>
      <c r="I2442" s="385" t="s">
        <v>171</v>
      </c>
      <c r="J2442" s="489"/>
      <c r="K2442" s="450"/>
      <c r="L2442" s="450"/>
      <c r="M2442" s="490" t="s">
        <v>37</v>
      </c>
      <c r="N2442" s="490">
        <v>1</v>
      </c>
    </row>
    <row r="2443" spans="1:14" hidden="1" outlineLevel="2">
      <c r="A2443" s="438"/>
      <c r="B2443" s="452" t="s">
        <v>298</v>
      </c>
      <c r="C2443" s="398" t="s">
        <v>1989</v>
      </c>
      <c r="D2443" s="454" t="s">
        <v>1830</v>
      </c>
      <c r="E2443" s="385"/>
      <c r="F2443" s="385"/>
      <c r="G2443" s="385"/>
      <c r="H2443" s="401" t="s">
        <v>3084</v>
      </c>
      <c r="I2443" s="385" t="s">
        <v>164</v>
      </c>
      <c r="J2443" s="489"/>
      <c r="K2443" s="450"/>
      <c r="L2443" s="450"/>
      <c r="M2443" s="490" t="s">
        <v>37</v>
      </c>
      <c r="N2443" s="490">
        <v>1</v>
      </c>
    </row>
    <row r="2444" spans="1:14" s="384" customFormat="1" ht="101.25" outlineLevel="1" collapsed="1">
      <c r="A2444" s="489" t="s">
        <v>3075</v>
      </c>
      <c r="B2444" s="452" t="s">
        <v>298</v>
      </c>
      <c r="C2444" s="398" t="s">
        <v>1989</v>
      </c>
      <c r="D2444" s="455" t="s">
        <v>1830</v>
      </c>
      <c r="E2444" s="490" t="s">
        <v>3086</v>
      </c>
      <c r="F2444" s="385" t="s">
        <v>2169</v>
      </c>
      <c r="G2444" s="385"/>
      <c r="H2444" s="401" t="s">
        <v>3087</v>
      </c>
      <c r="I2444" s="385" t="str">
        <f>CONCATENATE(I2445," ","(",H2445,")","-",N2445," ",M2445," ",I2446," ","(",H2446,")","-",N2446," ",M2446)</f>
        <v>Ремонт РУ10-0,4 кВ (ТР 1Т, 2Т
ТР РВ -2  шт
ТР ВН - 3 шт
ТР рубильника - 5 шт)-1 шт. Ремонт строительной части ТП, КТП (Окраска оборудования - 64 м2)-1 шт.</v>
      </c>
      <c r="J2444" s="489" t="s">
        <v>366</v>
      </c>
      <c r="K2444" s="450">
        <v>44470</v>
      </c>
      <c r="L2444" s="450">
        <v>44500</v>
      </c>
      <c r="M2444" s="490"/>
      <c r="N2444" s="490"/>
    </row>
    <row r="2445" spans="1:14" ht="81" hidden="1" outlineLevel="2">
      <c r="A2445" s="438"/>
      <c r="B2445" s="452" t="s">
        <v>298</v>
      </c>
      <c r="C2445" s="398" t="s">
        <v>1989</v>
      </c>
      <c r="D2445" s="454" t="s">
        <v>1830</v>
      </c>
      <c r="E2445" s="385"/>
      <c r="F2445" s="385" t="s">
        <v>2169</v>
      </c>
      <c r="G2445" s="385"/>
      <c r="H2445" s="401" t="s">
        <v>3088</v>
      </c>
      <c r="I2445" s="385" t="s">
        <v>171</v>
      </c>
      <c r="J2445" s="489"/>
      <c r="K2445" s="450"/>
      <c r="L2445" s="450"/>
      <c r="M2445" s="490" t="s">
        <v>37</v>
      </c>
      <c r="N2445" s="490">
        <v>1</v>
      </c>
    </row>
    <row r="2446" spans="1:14" hidden="1" outlineLevel="2">
      <c r="A2446" s="438"/>
      <c r="B2446" s="452" t="s">
        <v>298</v>
      </c>
      <c r="C2446" s="398" t="s">
        <v>1989</v>
      </c>
      <c r="D2446" s="454" t="s">
        <v>1830</v>
      </c>
      <c r="E2446" s="385"/>
      <c r="F2446" s="385"/>
      <c r="G2446" s="385"/>
      <c r="H2446" s="401" t="s">
        <v>3089</v>
      </c>
      <c r="I2446" s="385" t="s">
        <v>164</v>
      </c>
      <c r="J2446" s="489"/>
      <c r="K2446" s="450"/>
      <c r="L2446" s="450"/>
      <c r="M2446" s="490" t="s">
        <v>37</v>
      </c>
      <c r="N2446" s="490">
        <v>1</v>
      </c>
    </row>
    <row r="2447" spans="1:14" s="384" customFormat="1" ht="81" outlineLevel="1" collapsed="1">
      <c r="A2447" s="489" t="s">
        <v>3080</v>
      </c>
      <c r="B2447" s="452" t="s">
        <v>298</v>
      </c>
      <c r="C2447" s="455" t="s">
        <v>47</v>
      </c>
      <c r="D2447" s="455" t="s">
        <v>1830</v>
      </c>
      <c r="E2447" s="490" t="s">
        <v>3091</v>
      </c>
      <c r="F2447" s="385" t="s">
        <v>303</v>
      </c>
      <c r="G2447" s="385"/>
      <c r="H2447" s="401" t="s">
        <v>3092</v>
      </c>
      <c r="I2447" s="385" t="str">
        <f>CONCATENATE(I2448," ","(",H2448,")","-",N2448," ",M2448," ",I2449," ","(",H2449,")","-",N2449," ",M2449)</f>
        <v>Ремонт РУ10-0,4 кВ (ТР 1Т, замена рубильника-2шт, замена предохранителкй-3шт)-1 шт. Ремонт строительной части ТП, КТП (восстановление надписей-70букв)-1 шт.</v>
      </c>
      <c r="J2447" s="489" t="s">
        <v>366</v>
      </c>
      <c r="K2447" s="450">
        <v>44317</v>
      </c>
      <c r="L2447" s="450">
        <v>44408</v>
      </c>
      <c r="M2447" s="490"/>
      <c r="N2447" s="490"/>
    </row>
    <row r="2448" spans="1:14" ht="40.5" hidden="1" outlineLevel="2">
      <c r="A2448" s="438"/>
      <c r="B2448" s="452" t="s">
        <v>298</v>
      </c>
      <c r="C2448" s="398" t="s">
        <v>47</v>
      </c>
      <c r="D2448" s="454" t="s">
        <v>1830</v>
      </c>
      <c r="E2448" s="385"/>
      <c r="F2448" s="385"/>
      <c r="G2448" s="385"/>
      <c r="H2448" s="401" t="s">
        <v>3093</v>
      </c>
      <c r="I2448" s="385" t="s">
        <v>171</v>
      </c>
      <c r="J2448" s="489"/>
      <c r="K2448" s="450"/>
      <c r="L2448" s="450"/>
      <c r="M2448" s="490" t="s">
        <v>37</v>
      </c>
      <c r="N2448" s="490">
        <v>1</v>
      </c>
    </row>
    <row r="2449" spans="1:14" hidden="1" outlineLevel="2">
      <c r="A2449" s="438"/>
      <c r="B2449" s="452" t="s">
        <v>298</v>
      </c>
      <c r="C2449" s="398" t="s">
        <v>47</v>
      </c>
      <c r="D2449" s="454" t="s">
        <v>1830</v>
      </c>
      <c r="E2449" s="385"/>
      <c r="F2449" s="385"/>
      <c r="G2449" s="385"/>
      <c r="H2449" s="401" t="s">
        <v>3094</v>
      </c>
      <c r="I2449" s="385" t="s">
        <v>164</v>
      </c>
      <c r="J2449" s="489"/>
      <c r="K2449" s="450"/>
      <c r="L2449" s="450"/>
      <c r="M2449" s="490" t="s">
        <v>37</v>
      </c>
      <c r="N2449" s="490">
        <v>1</v>
      </c>
    </row>
    <row r="2450" spans="1:14" s="384" customFormat="1" ht="60.75" outlineLevel="1" collapsed="1">
      <c r="A2450" s="489" t="s">
        <v>3085</v>
      </c>
      <c r="B2450" s="452" t="s">
        <v>298</v>
      </c>
      <c r="C2450" s="455" t="s">
        <v>47</v>
      </c>
      <c r="D2450" s="455" t="s">
        <v>1830</v>
      </c>
      <c r="E2450" s="490" t="s">
        <v>3096</v>
      </c>
      <c r="F2450" s="385" t="s">
        <v>303</v>
      </c>
      <c r="G2450" s="385"/>
      <c r="H2450" s="401" t="s">
        <v>3097</v>
      </c>
      <c r="I2450" s="385" t="str">
        <f>CONCATENATE(I2451," ","(",H2451,")","-",N2451," ",M2451," ",I2452," ","(",H2452,")","-",N2452," ",M2452)</f>
        <v>Ремонт РУ10-0,4 кВ (ТР 1Т,  замена рубильника-2шт,)-1 шт. Ремонт строительной части ТП, КТП (восстановление надписей-75букв)-1 шт.</v>
      </c>
      <c r="J2450" s="489" t="s">
        <v>366</v>
      </c>
      <c r="K2450" s="450">
        <v>44378</v>
      </c>
      <c r="L2450" s="450">
        <v>44408</v>
      </c>
      <c r="M2450" s="490"/>
      <c r="N2450" s="490"/>
    </row>
    <row r="2451" spans="1:14" hidden="1" outlineLevel="2">
      <c r="A2451" s="438"/>
      <c r="B2451" s="452" t="s">
        <v>298</v>
      </c>
      <c r="C2451" s="398" t="s">
        <v>47</v>
      </c>
      <c r="D2451" s="454" t="s">
        <v>1830</v>
      </c>
      <c r="E2451" s="385"/>
      <c r="F2451" s="385"/>
      <c r="G2451" s="385"/>
      <c r="H2451" s="401" t="s">
        <v>3327</v>
      </c>
      <c r="I2451" s="385" t="s">
        <v>171</v>
      </c>
      <c r="J2451" s="489"/>
      <c r="K2451" s="450"/>
      <c r="L2451" s="450"/>
      <c r="M2451" s="490" t="s">
        <v>37</v>
      </c>
      <c r="N2451" s="490">
        <v>1</v>
      </c>
    </row>
    <row r="2452" spans="1:14" hidden="1" outlineLevel="2">
      <c r="A2452" s="438"/>
      <c r="B2452" s="452" t="s">
        <v>298</v>
      </c>
      <c r="C2452" s="398" t="s">
        <v>47</v>
      </c>
      <c r="D2452" s="454" t="s">
        <v>1830</v>
      </c>
      <c r="E2452" s="385"/>
      <c r="F2452" s="385"/>
      <c r="G2452" s="385"/>
      <c r="H2452" s="401" t="s">
        <v>3098</v>
      </c>
      <c r="I2452" s="385" t="s">
        <v>164</v>
      </c>
      <c r="J2452" s="489"/>
      <c r="K2452" s="450"/>
      <c r="L2452" s="450"/>
      <c r="M2452" s="490" t="s">
        <v>37</v>
      </c>
      <c r="N2452" s="490">
        <v>1</v>
      </c>
    </row>
    <row r="2453" spans="1:14" s="384" customFormat="1" ht="81" outlineLevel="1" collapsed="1">
      <c r="A2453" s="489" t="s">
        <v>3090</v>
      </c>
      <c r="B2453" s="452" t="s">
        <v>298</v>
      </c>
      <c r="C2453" s="455" t="s">
        <v>47</v>
      </c>
      <c r="D2453" s="455" t="s">
        <v>1830</v>
      </c>
      <c r="E2453" s="490" t="s">
        <v>3100</v>
      </c>
      <c r="F2453" s="385" t="s">
        <v>303</v>
      </c>
      <c r="G2453" s="385"/>
      <c r="H2453" s="401" t="s">
        <v>3101</v>
      </c>
      <c r="I2453" s="385" t="str">
        <f>CONCATENATE(I2454," ","(",H2454,")","-",N2454," ",M2454," ",I2455," ","(",H2455,")","-",N2455," ",M2455,""," ")</f>
        <v xml:space="preserve">Ремонт РУ10-0,4 кВ (ТР 1Т, замена рубильника-2шт, замена предохранителей-3шт)-1 шт. Ремонт строительной части ТП, КТП (окраска корпуса-32м2, восстановление надписей-75букв)-1 шт. </v>
      </c>
      <c r="J2453" s="489" t="s">
        <v>366</v>
      </c>
      <c r="K2453" s="450">
        <v>44409</v>
      </c>
      <c r="L2453" s="450">
        <v>44439</v>
      </c>
      <c r="M2453" s="490"/>
      <c r="N2453" s="490"/>
    </row>
    <row r="2454" spans="1:14" ht="40.5" hidden="1" outlineLevel="2">
      <c r="A2454" s="438"/>
      <c r="B2454" s="452" t="s">
        <v>298</v>
      </c>
      <c r="C2454" s="398" t="s">
        <v>47</v>
      </c>
      <c r="D2454" s="454" t="s">
        <v>1830</v>
      </c>
      <c r="E2454" s="385"/>
      <c r="F2454" s="385"/>
      <c r="G2454" s="385"/>
      <c r="H2454" s="401" t="s">
        <v>3102</v>
      </c>
      <c r="I2454" s="385" t="s">
        <v>171</v>
      </c>
      <c r="J2454" s="489"/>
      <c r="K2454" s="450"/>
      <c r="L2454" s="450"/>
      <c r="M2454" s="490" t="s">
        <v>37</v>
      </c>
      <c r="N2454" s="490">
        <v>1</v>
      </c>
    </row>
    <row r="2455" spans="1:14" ht="40.5" hidden="1" outlineLevel="2">
      <c r="A2455" s="438"/>
      <c r="B2455" s="452" t="s">
        <v>298</v>
      </c>
      <c r="C2455" s="398" t="s">
        <v>47</v>
      </c>
      <c r="D2455" s="454" t="s">
        <v>1830</v>
      </c>
      <c r="E2455" s="385"/>
      <c r="F2455" s="385"/>
      <c r="G2455" s="385"/>
      <c r="H2455" s="401" t="s">
        <v>3103</v>
      </c>
      <c r="I2455" s="385" t="s">
        <v>164</v>
      </c>
      <c r="J2455" s="489"/>
      <c r="K2455" s="450"/>
      <c r="L2455" s="450"/>
      <c r="M2455" s="490" t="s">
        <v>37</v>
      </c>
      <c r="N2455" s="490">
        <v>1</v>
      </c>
    </row>
    <row r="2456" spans="1:14" s="384" customFormat="1" ht="62.25" customHeight="1" outlineLevel="1" collapsed="1">
      <c r="A2456" s="489" t="s">
        <v>3095</v>
      </c>
      <c r="B2456" s="452" t="s">
        <v>298</v>
      </c>
      <c r="C2456" s="455" t="s">
        <v>47</v>
      </c>
      <c r="D2456" s="455" t="s">
        <v>1830</v>
      </c>
      <c r="E2456" s="490" t="s">
        <v>3105</v>
      </c>
      <c r="F2456" s="385" t="s">
        <v>303</v>
      </c>
      <c r="G2456" s="385"/>
      <c r="H2456" s="401" t="s">
        <v>3106</v>
      </c>
      <c r="I2456" s="385" t="str">
        <f>CONCATENATE(I2457," ","(",H2457,")","-",N2457," ",M2457," ",I2458," ","(",H2458,")","-",N2458," ",M2458,"")</f>
        <v>Ремонт РУ10-0,4 кВ (замена рубильника-2шт, установка АВ-1шт)-1 шт. Ремонт строительной части ТП, КТП (восстановление надписей-75букв)-1 шт.</v>
      </c>
      <c r="J2456" s="489" t="s">
        <v>366</v>
      </c>
      <c r="K2456" s="450">
        <v>44409</v>
      </c>
      <c r="L2456" s="450">
        <v>44439</v>
      </c>
      <c r="M2456" s="490"/>
      <c r="N2456" s="490"/>
    </row>
    <row r="2457" spans="1:14" ht="40.5" hidden="1" outlineLevel="2">
      <c r="A2457" s="438"/>
      <c r="B2457" s="452" t="s">
        <v>298</v>
      </c>
      <c r="C2457" s="398" t="s">
        <v>47</v>
      </c>
      <c r="D2457" s="454" t="s">
        <v>1830</v>
      </c>
      <c r="E2457" s="385"/>
      <c r="F2457" s="385"/>
      <c r="G2457" s="385"/>
      <c r="H2457" s="401" t="s">
        <v>3107</v>
      </c>
      <c r="I2457" s="385" t="s">
        <v>171</v>
      </c>
      <c r="J2457" s="489"/>
      <c r="K2457" s="450"/>
      <c r="L2457" s="450"/>
      <c r="M2457" s="490" t="s">
        <v>37</v>
      </c>
      <c r="N2457" s="490">
        <v>1</v>
      </c>
    </row>
    <row r="2458" spans="1:14" hidden="1" outlineLevel="2">
      <c r="A2458" s="438"/>
      <c r="B2458" s="452" t="s">
        <v>298</v>
      </c>
      <c r="C2458" s="398" t="s">
        <v>47</v>
      </c>
      <c r="D2458" s="454" t="s">
        <v>1830</v>
      </c>
      <c r="E2458" s="385"/>
      <c r="F2458" s="385"/>
      <c r="G2458" s="385"/>
      <c r="H2458" s="401" t="s">
        <v>3098</v>
      </c>
      <c r="I2458" s="385" t="s">
        <v>164</v>
      </c>
      <c r="J2458" s="489"/>
      <c r="K2458" s="450"/>
      <c r="L2458" s="450"/>
      <c r="M2458" s="490" t="s">
        <v>37</v>
      </c>
      <c r="N2458" s="490">
        <v>1</v>
      </c>
    </row>
    <row r="2459" spans="1:14" s="384" customFormat="1" ht="81" outlineLevel="1" collapsed="1">
      <c r="A2459" s="489" t="s">
        <v>3099</v>
      </c>
      <c r="B2459" s="452" t="s">
        <v>298</v>
      </c>
      <c r="C2459" s="455" t="s">
        <v>47</v>
      </c>
      <c r="D2459" s="455" t="s">
        <v>1830</v>
      </c>
      <c r="E2459" s="490" t="s">
        <v>3109</v>
      </c>
      <c r="F2459" s="385" t="s">
        <v>303</v>
      </c>
      <c r="G2459" s="385"/>
      <c r="H2459" s="401" t="s">
        <v>3110</v>
      </c>
      <c r="I2459" s="385" t="str">
        <f>CONCATENATE(I2460," ","(",H2460,")","-",N2460," ",M2460," ",I2461," ","(",H2461,")","-",N2461," ",M2461," ")</f>
        <v xml:space="preserve">Ремонт РУ10-0,4 кВ (ТР 1Т, замена рубильника-2шт, замена предохранителей-3шт)-1 шт. Ремонт строительной части ТП, КТП (окраска корпуса-32м2, восстановление надписей-75букв)-1 шт. </v>
      </c>
      <c r="J2459" s="489" t="s">
        <v>366</v>
      </c>
      <c r="K2459" s="450">
        <v>44409</v>
      </c>
      <c r="L2459" s="450">
        <v>44439</v>
      </c>
      <c r="M2459" s="490"/>
      <c r="N2459" s="490"/>
    </row>
    <row r="2460" spans="1:14" ht="40.5" hidden="1" outlineLevel="2">
      <c r="A2460" s="438"/>
      <c r="B2460" s="452" t="s">
        <v>298</v>
      </c>
      <c r="C2460" s="398" t="s">
        <v>47</v>
      </c>
      <c r="D2460" s="454" t="s">
        <v>1830</v>
      </c>
      <c r="E2460" s="385"/>
      <c r="F2460" s="385"/>
      <c r="G2460" s="385"/>
      <c r="H2460" s="401" t="s">
        <v>3102</v>
      </c>
      <c r="I2460" s="385" t="s">
        <v>171</v>
      </c>
      <c r="J2460" s="489"/>
      <c r="K2460" s="450"/>
      <c r="L2460" s="450"/>
      <c r="M2460" s="490" t="s">
        <v>37</v>
      </c>
      <c r="N2460" s="490">
        <v>1</v>
      </c>
    </row>
    <row r="2461" spans="1:14" ht="40.5" hidden="1" outlineLevel="2">
      <c r="A2461" s="438"/>
      <c r="B2461" s="452" t="s">
        <v>298</v>
      </c>
      <c r="C2461" s="398" t="s">
        <v>47</v>
      </c>
      <c r="D2461" s="454" t="s">
        <v>1830</v>
      </c>
      <c r="E2461" s="385"/>
      <c r="F2461" s="385"/>
      <c r="G2461" s="385"/>
      <c r="H2461" s="401" t="s">
        <v>3103</v>
      </c>
      <c r="I2461" s="385" t="s">
        <v>164</v>
      </c>
      <c r="J2461" s="489"/>
      <c r="K2461" s="450"/>
      <c r="L2461" s="450"/>
      <c r="M2461" s="490" t="s">
        <v>37</v>
      </c>
      <c r="N2461" s="490">
        <v>1</v>
      </c>
    </row>
    <row r="2462" spans="1:14" s="384" customFormat="1" ht="81" outlineLevel="1" collapsed="1">
      <c r="A2462" s="489" t="s">
        <v>3104</v>
      </c>
      <c r="B2462" s="452" t="s">
        <v>298</v>
      </c>
      <c r="C2462" s="455" t="s">
        <v>47</v>
      </c>
      <c r="D2462" s="455" t="s">
        <v>1830</v>
      </c>
      <c r="E2462" s="385" t="s">
        <v>3112</v>
      </c>
      <c r="F2462" s="385" t="s">
        <v>303</v>
      </c>
      <c r="G2462" s="385"/>
      <c r="H2462" s="401" t="s">
        <v>3113</v>
      </c>
      <c r="I2462" s="385" t="str">
        <f>CONCATENATE(I2463," ","(",H2463,")","-",N2463," ",M2463," ",I2464," ","(",H2464,")","-",N2464," ",M2464," ")</f>
        <v xml:space="preserve">Ремонт РУ10-0,4 кВ (замена рубильника-2шт, замена предохранителей-3шт)-1 шт. Ремонт строительной части ТП, КТП (ремонт дверей с усиленим металлом-4шт, восстановление надписей-75букв)-1 шт. </v>
      </c>
      <c r="J2462" s="489" t="s">
        <v>366</v>
      </c>
      <c r="K2462" s="450">
        <v>44470</v>
      </c>
      <c r="L2462" s="450">
        <v>44500</v>
      </c>
      <c r="M2462" s="490"/>
      <c r="N2462" s="490"/>
    </row>
    <row r="2463" spans="1:14" ht="40.5" hidden="1" outlineLevel="2">
      <c r="A2463" s="438"/>
      <c r="B2463" s="452" t="s">
        <v>298</v>
      </c>
      <c r="C2463" s="398" t="s">
        <v>47</v>
      </c>
      <c r="D2463" s="454" t="s">
        <v>1830</v>
      </c>
      <c r="E2463" s="385"/>
      <c r="F2463" s="385"/>
      <c r="G2463" s="385"/>
      <c r="H2463" s="401" t="s">
        <v>3114</v>
      </c>
      <c r="I2463" s="385" t="s">
        <v>171</v>
      </c>
      <c r="J2463" s="489"/>
      <c r="K2463" s="450"/>
      <c r="L2463" s="450"/>
      <c r="M2463" s="490" t="s">
        <v>37</v>
      </c>
      <c r="N2463" s="490">
        <v>1</v>
      </c>
    </row>
    <row r="2464" spans="1:14" ht="40.5" hidden="1" outlineLevel="2">
      <c r="A2464" s="438"/>
      <c r="B2464" s="452" t="s">
        <v>298</v>
      </c>
      <c r="C2464" s="398" t="s">
        <v>47</v>
      </c>
      <c r="D2464" s="454" t="s">
        <v>1830</v>
      </c>
      <c r="E2464" s="385"/>
      <c r="F2464" s="385"/>
      <c r="G2464" s="385"/>
      <c r="H2464" s="401" t="s">
        <v>3115</v>
      </c>
      <c r="I2464" s="385" t="s">
        <v>164</v>
      </c>
      <c r="J2464" s="489"/>
      <c r="K2464" s="450"/>
      <c r="L2464" s="450"/>
      <c r="M2464" s="490" t="s">
        <v>37</v>
      </c>
      <c r="N2464" s="490">
        <v>1</v>
      </c>
    </row>
    <row r="2465" spans="1:14" s="384" customFormat="1" ht="81" outlineLevel="1" collapsed="1">
      <c r="A2465" s="489" t="s">
        <v>3108</v>
      </c>
      <c r="B2465" s="452" t="s">
        <v>298</v>
      </c>
      <c r="C2465" s="455" t="s">
        <v>47</v>
      </c>
      <c r="D2465" s="455" t="s">
        <v>1830</v>
      </c>
      <c r="E2465" s="385" t="s">
        <v>3117</v>
      </c>
      <c r="F2465" s="385" t="s">
        <v>303</v>
      </c>
      <c r="G2465" s="385"/>
      <c r="H2465" s="401" t="s">
        <v>3118</v>
      </c>
      <c r="I2465" s="385" t="str">
        <f>CONCATENATE(I2466," ","(",H2466,")","-",N2466," ",M2466," ",I2467," ","(",H2467,")","-",N2467," ",M2467," ")</f>
        <v xml:space="preserve">Ремонт РУ10-0,4 кВ ( замена рубильника-2шт, , замена предохранителей-3шт)-1 шт. Ремонт строительной части ТП, КТП (окраска дверей -25м2, восстановление надписей-75букв)-1 шт. </v>
      </c>
      <c r="J2465" s="489" t="s">
        <v>366</v>
      </c>
      <c r="K2465" s="450">
        <v>44440</v>
      </c>
      <c r="L2465" s="450">
        <v>44469</v>
      </c>
      <c r="M2465" s="490"/>
      <c r="N2465" s="490"/>
    </row>
    <row r="2466" spans="1:14" ht="40.5" hidden="1" outlineLevel="2">
      <c r="A2466" s="438"/>
      <c r="B2466" s="452" t="s">
        <v>298</v>
      </c>
      <c r="C2466" s="398" t="s">
        <v>47</v>
      </c>
      <c r="D2466" s="454" t="s">
        <v>1830</v>
      </c>
      <c r="E2466" s="385"/>
      <c r="F2466" s="385"/>
      <c r="G2466" s="385"/>
      <c r="H2466" s="401" t="s">
        <v>3119</v>
      </c>
      <c r="I2466" s="385" t="s">
        <v>171</v>
      </c>
      <c r="J2466" s="489"/>
      <c r="K2466" s="450"/>
      <c r="L2466" s="450"/>
      <c r="M2466" s="490" t="s">
        <v>37</v>
      </c>
      <c r="N2466" s="490">
        <v>1</v>
      </c>
    </row>
    <row r="2467" spans="1:14" ht="40.5" hidden="1" outlineLevel="2">
      <c r="A2467" s="438"/>
      <c r="B2467" s="452" t="s">
        <v>298</v>
      </c>
      <c r="C2467" s="398" t="s">
        <v>47</v>
      </c>
      <c r="D2467" s="454" t="s">
        <v>1830</v>
      </c>
      <c r="E2467" s="385"/>
      <c r="F2467" s="385"/>
      <c r="G2467" s="385"/>
      <c r="H2467" s="401" t="s">
        <v>3120</v>
      </c>
      <c r="I2467" s="385" t="s">
        <v>164</v>
      </c>
      <c r="J2467" s="489"/>
      <c r="K2467" s="450"/>
      <c r="L2467" s="450"/>
      <c r="M2467" s="490" t="s">
        <v>37</v>
      </c>
      <c r="N2467" s="490">
        <v>1</v>
      </c>
    </row>
    <row r="2468" spans="1:14" s="384" customFormat="1" ht="81" outlineLevel="1" collapsed="1">
      <c r="A2468" s="489" t="s">
        <v>3111</v>
      </c>
      <c r="B2468" s="452" t="s">
        <v>298</v>
      </c>
      <c r="C2468" s="455" t="s">
        <v>47</v>
      </c>
      <c r="D2468" s="455" t="s">
        <v>1830</v>
      </c>
      <c r="E2468" s="385" t="s">
        <v>3122</v>
      </c>
      <c r="F2468" s="385" t="s">
        <v>303</v>
      </c>
      <c r="G2468" s="385"/>
      <c r="H2468" s="401" t="s">
        <v>3123</v>
      </c>
      <c r="I2468" s="385" t="str">
        <f>CONCATENATE(I2469," ","(",H2469,")","-",N2469," ",M2469," ",I2470," ","(",H2470,")","-",N2470," ",M2470," ")</f>
        <v xml:space="preserve">Ремонт РУ10-0,4 кВ (ТР 1Т, замена рубильника-2шт,  замена предохранителей-3шт)-1 шт. Ремонт строительной части ТП, КТП (ремонт дверей с усиленим металлом-2шт, восстановление надписей-75букв)-1 шт. </v>
      </c>
      <c r="J2468" s="489" t="s">
        <v>366</v>
      </c>
      <c r="K2468" s="450">
        <v>44470</v>
      </c>
      <c r="L2468" s="450">
        <v>44500</v>
      </c>
      <c r="M2468" s="490"/>
      <c r="N2468" s="490"/>
    </row>
    <row r="2469" spans="1:14" ht="40.5" hidden="1" outlineLevel="2">
      <c r="A2469" s="438"/>
      <c r="B2469" s="452" t="s">
        <v>298</v>
      </c>
      <c r="C2469" s="398" t="s">
        <v>47</v>
      </c>
      <c r="D2469" s="454" t="s">
        <v>1830</v>
      </c>
      <c r="E2469" s="385"/>
      <c r="F2469" s="385"/>
      <c r="G2469" s="385"/>
      <c r="H2469" s="401" t="s">
        <v>3124</v>
      </c>
      <c r="I2469" s="385" t="s">
        <v>171</v>
      </c>
      <c r="J2469" s="489"/>
      <c r="K2469" s="450"/>
      <c r="L2469" s="450"/>
      <c r="M2469" s="490" t="s">
        <v>37</v>
      </c>
      <c r="N2469" s="490">
        <v>1</v>
      </c>
    </row>
    <row r="2470" spans="1:14" ht="40.5" hidden="1" outlineLevel="2">
      <c r="A2470" s="438"/>
      <c r="B2470" s="452" t="s">
        <v>298</v>
      </c>
      <c r="C2470" s="398" t="s">
        <v>47</v>
      </c>
      <c r="D2470" s="454" t="s">
        <v>1830</v>
      </c>
      <c r="E2470" s="385"/>
      <c r="F2470" s="385"/>
      <c r="G2470" s="385"/>
      <c r="H2470" s="401" t="s">
        <v>3125</v>
      </c>
      <c r="I2470" s="385" t="s">
        <v>164</v>
      </c>
      <c r="J2470" s="489"/>
      <c r="K2470" s="450"/>
      <c r="L2470" s="450"/>
      <c r="M2470" s="490" t="s">
        <v>37</v>
      </c>
      <c r="N2470" s="490">
        <v>1</v>
      </c>
    </row>
    <row r="2471" spans="1:14" s="384" customFormat="1" ht="60.75" outlineLevel="1" collapsed="1">
      <c r="A2471" s="489" t="s">
        <v>3116</v>
      </c>
      <c r="B2471" s="452" t="s">
        <v>298</v>
      </c>
      <c r="C2471" s="455" t="s">
        <v>47</v>
      </c>
      <c r="D2471" s="455" t="s">
        <v>1830</v>
      </c>
      <c r="E2471" s="385" t="s">
        <v>3127</v>
      </c>
      <c r="F2471" s="385" t="s">
        <v>303</v>
      </c>
      <c r="G2471" s="385"/>
      <c r="H2471" s="401" t="s">
        <v>3128</v>
      </c>
      <c r="I2471" s="385" t="str">
        <f>CONCATENATE(I2472," ","(",H2472,")","-",N2472," ",M2472," ",I2473," ","(",H2473,")","-",N2473," ",M2473," ")</f>
        <v xml:space="preserve">Ремонт РУ10-0,4 кВ (ТР 1Т, замена АВ-1шт)-1 шт. Ремонт строительной части ТП, КТП (восстановление надписей-50букв)-1 шт. </v>
      </c>
      <c r="J2471" s="489" t="s">
        <v>366</v>
      </c>
      <c r="K2471" s="450">
        <v>44378</v>
      </c>
      <c r="L2471" s="450">
        <v>44408</v>
      </c>
      <c r="M2471" s="490"/>
      <c r="N2471" s="490"/>
    </row>
    <row r="2472" spans="1:14" hidden="1" outlineLevel="2">
      <c r="A2472" s="438"/>
      <c r="B2472" s="452" t="s">
        <v>298</v>
      </c>
      <c r="C2472" s="398" t="s">
        <v>47</v>
      </c>
      <c r="D2472" s="454" t="s">
        <v>1830</v>
      </c>
      <c r="E2472" s="385"/>
      <c r="F2472" s="385"/>
      <c r="G2472" s="385"/>
      <c r="H2472" s="401" t="s">
        <v>3129</v>
      </c>
      <c r="I2472" s="385" t="s">
        <v>171</v>
      </c>
      <c r="J2472" s="489"/>
      <c r="K2472" s="450"/>
      <c r="L2472" s="450"/>
      <c r="M2472" s="490" t="s">
        <v>37</v>
      </c>
      <c r="N2472" s="490">
        <v>1</v>
      </c>
    </row>
    <row r="2473" spans="1:14" hidden="1" outlineLevel="2">
      <c r="A2473" s="438"/>
      <c r="B2473" s="452" t="s">
        <v>298</v>
      </c>
      <c r="C2473" s="398" t="s">
        <v>47</v>
      </c>
      <c r="D2473" s="454" t="s">
        <v>1830</v>
      </c>
      <c r="E2473" s="385"/>
      <c r="F2473" s="385"/>
      <c r="G2473" s="385"/>
      <c r="H2473" s="401" t="s">
        <v>3130</v>
      </c>
      <c r="I2473" s="385" t="s">
        <v>164</v>
      </c>
      <c r="J2473" s="489"/>
      <c r="K2473" s="450"/>
      <c r="L2473" s="450"/>
      <c r="M2473" s="490" t="s">
        <v>37</v>
      </c>
      <c r="N2473" s="490">
        <v>1</v>
      </c>
    </row>
    <row r="2474" spans="1:14" s="384" customFormat="1" ht="40.5" outlineLevel="1" collapsed="1">
      <c r="A2474" s="489" t="s">
        <v>3121</v>
      </c>
      <c r="B2474" s="452" t="s">
        <v>298</v>
      </c>
      <c r="C2474" s="455" t="s">
        <v>47</v>
      </c>
      <c r="D2474" s="455" t="s">
        <v>1830</v>
      </c>
      <c r="E2474" s="385" t="s">
        <v>3132</v>
      </c>
      <c r="F2474" s="385" t="s">
        <v>303</v>
      </c>
      <c r="G2474" s="385"/>
      <c r="H2474" s="401" t="s">
        <v>3133</v>
      </c>
      <c r="I2474" s="385" t="str">
        <f>CONCATENATE(I2475," ","(",H2475,")","-",N2475," ",M2475," ",I2476," ","(",H2476,")","-",N2476," ",M2476," ")</f>
        <v xml:space="preserve">Ремонт РУ10-0,4 кВ (ТР 1Т)-1 шт. Ремонт строительной части ТП, КТП ( восстановление надписей-50букв)-1 шт. </v>
      </c>
      <c r="J2474" s="489" t="s">
        <v>366</v>
      </c>
      <c r="K2474" s="450">
        <v>44378</v>
      </c>
      <c r="L2474" s="450">
        <v>44408</v>
      </c>
      <c r="M2474" s="490"/>
      <c r="N2474" s="490"/>
    </row>
    <row r="2475" spans="1:14" ht="24.75" hidden="1" customHeight="1" outlineLevel="2">
      <c r="A2475" s="438"/>
      <c r="B2475" s="452" t="s">
        <v>298</v>
      </c>
      <c r="C2475" s="398" t="s">
        <v>47</v>
      </c>
      <c r="D2475" s="454" t="s">
        <v>1830</v>
      </c>
      <c r="E2475" s="385"/>
      <c r="F2475" s="385"/>
      <c r="G2475" s="385"/>
      <c r="H2475" s="401" t="s">
        <v>3060</v>
      </c>
      <c r="I2475" s="385" t="s">
        <v>171</v>
      </c>
      <c r="J2475" s="489"/>
      <c r="K2475" s="450"/>
      <c r="L2475" s="450"/>
      <c r="M2475" s="490" t="s">
        <v>37</v>
      </c>
      <c r="N2475" s="490">
        <v>1</v>
      </c>
    </row>
    <row r="2476" spans="1:14" hidden="1" outlineLevel="2">
      <c r="A2476" s="438"/>
      <c r="B2476" s="452" t="s">
        <v>298</v>
      </c>
      <c r="C2476" s="398" t="s">
        <v>47</v>
      </c>
      <c r="D2476" s="454" t="s">
        <v>1830</v>
      </c>
      <c r="E2476" s="385"/>
      <c r="F2476" s="385"/>
      <c r="G2476" s="385"/>
      <c r="H2476" s="401" t="s">
        <v>3747</v>
      </c>
      <c r="I2476" s="385" t="s">
        <v>164</v>
      </c>
      <c r="J2476" s="489"/>
      <c r="K2476" s="450"/>
      <c r="L2476" s="450"/>
      <c r="M2476" s="490" t="s">
        <v>37</v>
      </c>
      <c r="N2476" s="490">
        <v>1</v>
      </c>
    </row>
    <row r="2477" spans="1:14" s="384" customFormat="1" ht="60.75" outlineLevel="1" collapsed="1">
      <c r="A2477" s="489" t="s">
        <v>3126</v>
      </c>
      <c r="B2477" s="452" t="s">
        <v>298</v>
      </c>
      <c r="C2477" s="455" t="s">
        <v>47</v>
      </c>
      <c r="D2477" s="455" t="s">
        <v>1830</v>
      </c>
      <c r="E2477" s="385" t="s">
        <v>3136</v>
      </c>
      <c r="F2477" s="385" t="s">
        <v>303</v>
      </c>
      <c r="G2477" s="385"/>
      <c r="H2477" s="401" t="s">
        <v>3137</v>
      </c>
      <c r="I2477" s="385" t="str">
        <f>CONCATENATE(I2478," ","(",H2478,")","-",N2478," ",M2478," ",I2479," ","(",H2479,")","-",N2479," ",M2479," ")</f>
        <v xml:space="preserve">Ремонт РУ10-0,4 кВ (ТР 1Т)-1 шт. Ремонт строительной части ТП, КТП (ремонт дверей с усиленим металлом-1шт, восстановление надписей-50букв)-1 шт. </v>
      </c>
      <c r="J2477" s="489" t="s">
        <v>366</v>
      </c>
      <c r="K2477" s="450">
        <v>44378</v>
      </c>
      <c r="L2477" s="450">
        <v>44408</v>
      </c>
      <c r="M2477" s="490"/>
      <c r="N2477" s="490"/>
    </row>
    <row r="2478" spans="1:14" hidden="1" outlineLevel="2">
      <c r="A2478" s="438"/>
      <c r="B2478" s="452" t="s">
        <v>298</v>
      </c>
      <c r="C2478" s="398" t="s">
        <v>47</v>
      </c>
      <c r="D2478" s="454" t="s">
        <v>1830</v>
      </c>
      <c r="E2478" s="385"/>
      <c r="F2478" s="385"/>
      <c r="G2478" s="385"/>
      <c r="H2478" s="401" t="s">
        <v>3060</v>
      </c>
      <c r="I2478" s="385" t="s">
        <v>171</v>
      </c>
      <c r="J2478" s="489"/>
      <c r="K2478" s="450"/>
      <c r="L2478" s="450"/>
      <c r="M2478" s="490" t="s">
        <v>37</v>
      </c>
      <c r="N2478" s="490">
        <v>1</v>
      </c>
    </row>
    <row r="2479" spans="1:14" ht="40.5" hidden="1" outlineLevel="2">
      <c r="A2479" s="438"/>
      <c r="B2479" s="452" t="s">
        <v>298</v>
      </c>
      <c r="C2479" s="398" t="s">
        <v>47</v>
      </c>
      <c r="D2479" s="454" t="s">
        <v>1830</v>
      </c>
      <c r="E2479" s="385"/>
      <c r="F2479" s="385"/>
      <c r="G2479" s="385"/>
      <c r="H2479" s="401" t="s">
        <v>3134</v>
      </c>
      <c r="I2479" s="385" t="s">
        <v>164</v>
      </c>
      <c r="J2479" s="489"/>
      <c r="K2479" s="450"/>
      <c r="L2479" s="450"/>
      <c r="M2479" s="490" t="s">
        <v>37</v>
      </c>
      <c r="N2479" s="490">
        <v>1</v>
      </c>
    </row>
    <row r="2480" spans="1:14" s="384" customFormat="1" ht="60.75" outlineLevel="1" collapsed="1">
      <c r="A2480" s="489" t="s">
        <v>3131</v>
      </c>
      <c r="B2480" s="452" t="s">
        <v>298</v>
      </c>
      <c r="C2480" s="455" t="s">
        <v>47</v>
      </c>
      <c r="D2480" s="455" t="s">
        <v>1830</v>
      </c>
      <c r="E2480" s="385" t="s">
        <v>3139</v>
      </c>
      <c r="F2480" s="385" t="s">
        <v>303</v>
      </c>
      <c r="G2480" s="385"/>
      <c r="H2480" s="401" t="s">
        <v>3140</v>
      </c>
      <c r="I2480" s="385" t="str">
        <f>CONCATENATE(I2481," ","(",H2481,")","-",N2481," ",M2481," ",I2482," ","(",H2482,")","-",N2482," ",M2482," ")</f>
        <v xml:space="preserve">Ремонт РУ10-0,4 кВ (замена рубильника на АВ-2шт)-1 шт. Ремонт строительной части ТП, КТП (восстановление надписей-50букв)-1 шт. </v>
      </c>
      <c r="J2480" s="489" t="s">
        <v>366</v>
      </c>
      <c r="K2480" s="450">
        <v>44378</v>
      </c>
      <c r="L2480" s="450">
        <v>44408</v>
      </c>
      <c r="M2480" s="490"/>
      <c r="N2480" s="490"/>
    </row>
    <row r="2481" spans="1:14" hidden="1" outlineLevel="2">
      <c r="A2481" s="438"/>
      <c r="B2481" s="452" t="s">
        <v>298</v>
      </c>
      <c r="C2481" s="398" t="s">
        <v>47</v>
      </c>
      <c r="D2481" s="454" t="s">
        <v>1830</v>
      </c>
      <c r="E2481" s="385"/>
      <c r="F2481" s="385"/>
      <c r="G2481" s="385"/>
      <c r="H2481" s="401" t="s">
        <v>3141</v>
      </c>
      <c r="I2481" s="385" t="s">
        <v>171</v>
      </c>
      <c r="J2481" s="489"/>
      <c r="K2481" s="450"/>
      <c r="L2481" s="450"/>
      <c r="M2481" s="490" t="s">
        <v>37</v>
      </c>
      <c r="N2481" s="490">
        <v>1</v>
      </c>
    </row>
    <row r="2482" spans="1:14" hidden="1" outlineLevel="2">
      <c r="A2482" s="438"/>
      <c r="B2482" s="452" t="s">
        <v>298</v>
      </c>
      <c r="C2482" s="398" t="s">
        <v>47</v>
      </c>
      <c r="D2482" s="454" t="s">
        <v>1830</v>
      </c>
      <c r="E2482" s="385"/>
      <c r="F2482" s="385"/>
      <c r="G2482" s="385"/>
      <c r="H2482" s="401" t="s">
        <v>3130</v>
      </c>
      <c r="I2482" s="385" t="s">
        <v>164</v>
      </c>
      <c r="J2482" s="489"/>
      <c r="K2482" s="450"/>
      <c r="L2482" s="450"/>
      <c r="M2482" s="490" t="s">
        <v>37</v>
      </c>
      <c r="N2482" s="490">
        <v>1</v>
      </c>
    </row>
    <row r="2483" spans="1:14" s="384" customFormat="1" ht="40.5" outlineLevel="1" collapsed="1">
      <c r="A2483" s="489" t="s">
        <v>3135</v>
      </c>
      <c r="B2483" s="452" t="s">
        <v>298</v>
      </c>
      <c r="C2483" s="455" t="s">
        <v>47</v>
      </c>
      <c r="D2483" s="455" t="s">
        <v>1830</v>
      </c>
      <c r="E2483" s="385" t="s">
        <v>3143</v>
      </c>
      <c r="F2483" s="385" t="s">
        <v>303</v>
      </c>
      <c r="G2483" s="385"/>
      <c r="H2483" s="401" t="s">
        <v>3144</v>
      </c>
      <c r="I2483" s="385" t="str">
        <f>CONCATENATE(I2484," ","(",H2484,")","-",N2484," ",M2484," ",I2485," ","(",H2485,")","-",N2485," ",M2485," ")</f>
        <v xml:space="preserve">Ремонт РУ10-0,4 кВ (ТР 1Т)-1 шт. Ремонт строительной части ТП, КТП (восстановление надписей-50букв)-1 шт. </v>
      </c>
      <c r="J2483" s="489" t="s">
        <v>366</v>
      </c>
      <c r="K2483" s="450">
        <v>44409</v>
      </c>
      <c r="L2483" s="450">
        <v>44439</v>
      </c>
      <c r="M2483" s="490"/>
      <c r="N2483" s="490"/>
    </row>
    <row r="2484" spans="1:14" hidden="1" outlineLevel="2">
      <c r="A2484" s="438"/>
      <c r="B2484" s="452" t="s">
        <v>298</v>
      </c>
      <c r="C2484" s="398" t="s">
        <v>47</v>
      </c>
      <c r="D2484" s="454" t="s">
        <v>1830</v>
      </c>
      <c r="E2484" s="385"/>
      <c r="F2484" s="385"/>
      <c r="G2484" s="385"/>
      <c r="H2484" s="401" t="s">
        <v>3060</v>
      </c>
      <c r="I2484" s="385" t="s">
        <v>171</v>
      </c>
      <c r="J2484" s="489"/>
      <c r="K2484" s="450"/>
      <c r="L2484" s="450"/>
      <c r="M2484" s="490" t="s">
        <v>37</v>
      </c>
      <c r="N2484" s="490">
        <v>1</v>
      </c>
    </row>
    <row r="2485" spans="1:14" hidden="1" outlineLevel="2">
      <c r="A2485" s="438"/>
      <c r="B2485" s="452" t="s">
        <v>298</v>
      </c>
      <c r="C2485" s="398" t="s">
        <v>47</v>
      </c>
      <c r="D2485" s="454" t="s">
        <v>1830</v>
      </c>
      <c r="E2485" s="385"/>
      <c r="F2485" s="385"/>
      <c r="G2485" s="385"/>
      <c r="H2485" s="401" t="s">
        <v>3130</v>
      </c>
      <c r="I2485" s="385" t="s">
        <v>164</v>
      </c>
      <c r="J2485" s="489"/>
      <c r="K2485" s="450"/>
      <c r="L2485" s="450"/>
      <c r="M2485" s="490" t="s">
        <v>37</v>
      </c>
      <c r="N2485" s="490">
        <v>1</v>
      </c>
    </row>
    <row r="2486" spans="1:14" s="384" customFormat="1" ht="40.5" outlineLevel="1" collapsed="1">
      <c r="A2486" s="489" t="s">
        <v>3138</v>
      </c>
      <c r="B2486" s="452" t="s">
        <v>298</v>
      </c>
      <c r="C2486" s="455" t="s">
        <v>47</v>
      </c>
      <c r="D2486" s="455" t="s">
        <v>1830</v>
      </c>
      <c r="E2486" s="385" t="s">
        <v>3146</v>
      </c>
      <c r="F2486" s="385" t="s">
        <v>303</v>
      </c>
      <c r="G2486" s="385"/>
      <c r="H2486" s="401" t="s">
        <v>3147</v>
      </c>
      <c r="I2486" s="385" t="str">
        <f>CONCATENATE(I2487," ","(",H2487,")","-",N2487," ",M2487," ",I2488," ","(",H2488,")","-",N2488," ",M2488," ")</f>
        <v xml:space="preserve">Ремонт РУ10-0,4 кВ (ТР 1Т)-1 шт. Ремонт строительной части ТП, КТП (восстановление надписей-50букв)-1 шт. </v>
      </c>
      <c r="J2486" s="489" t="s">
        <v>366</v>
      </c>
      <c r="K2486" s="450">
        <v>44409</v>
      </c>
      <c r="L2486" s="450">
        <v>44439</v>
      </c>
      <c r="M2486" s="490"/>
      <c r="N2486" s="490"/>
    </row>
    <row r="2487" spans="1:14" hidden="1" outlineLevel="2">
      <c r="A2487" s="438"/>
      <c r="B2487" s="452" t="s">
        <v>298</v>
      </c>
      <c r="C2487" s="398" t="s">
        <v>47</v>
      </c>
      <c r="D2487" s="454" t="s">
        <v>1830</v>
      </c>
      <c r="E2487" s="385"/>
      <c r="F2487" s="385"/>
      <c r="G2487" s="385"/>
      <c r="H2487" s="401" t="s">
        <v>3060</v>
      </c>
      <c r="I2487" s="385" t="s">
        <v>171</v>
      </c>
      <c r="J2487" s="489"/>
      <c r="K2487" s="450"/>
      <c r="L2487" s="450"/>
      <c r="M2487" s="490" t="s">
        <v>37</v>
      </c>
      <c r="N2487" s="490">
        <v>1</v>
      </c>
    </row>
    <row r="2488" spans="1:14" hidden="1" outlineLevel="2">
      <c r="A2488" s="438"/>
      <c r="B2488" s="452" t="s">
        <v>298</v>
      </c>
      <c r="C2488" s="398" t="s">
        <v>47</v>
      </c>
      <c r="D2488" s="454" t="s">
        <v>1830</v>
      </c>
      <c r="E2488" s="385"/>
      <c r="F2488" s="385"/>
      <c r="G2488" s="385"/>
      <c r="H2488" s="401" t="s">
        <v>3130</v>
      </c>
      <c r="I2488" s="385" t="s">
        <v>164</v>
      </c>
      <c r="J2488" s="489"/>
      <c r="K2488" s="450"/>
      <c r="L2488" s="450"/>
      <c r="M2488" s="490" t="s">
        <v>37</v>
      </c>
      <c r="N2488" s="490">
        <v>1</v>
      </c>
    </row>
    <row r="2489" spans="1:14" s="384" customFormat="1" ht="40.5" outlineLevel="1" collapsed="1">
      <c r="A2489" s="489" t="s">
        <v>3142</v>
      </c>
      <c r="B2489" s="452" t="s">
        <v>298</v>
      </c>
      <c r="C2489" s="455" t="s">
        <v>47</v>
      </c>
      <c r="D2489" s="455" t="s">
        <v>1830</v>
      </c>
      <c r="E2489" s="385" t="s">
        <v>3149</v>
      </c>
      <c r="F2489" s="385" t="s">
        <v>303</v>
      </c>
      <c r="G2489" s="385"/>
      <c r="H2489" s="401" t="s">
        <v>3150</v>
      </c>
      <c r="I2489" s="385" t="str">
        <f>CONCATENATE(I2490," ","(",H2490,")","-",N2490," ",M2490," ",I2491," ","(",H2491,")","-",N2491," ",M2491," ")</f>
        <v xml:space="preserve">Ремонт РУ10-0,4 кВ (ТР 1Т)-1 шт. Ремонт строительной части ТП, КТП (восстановление надписей-50букв)-1 шт. </v>
      </c>
      <c r="J2489" s="489" t="s">
        <v>366</v>
      </c>
      <c r="K2489" s="450">
        <v>44409</v>
      </c>
      <c r="L2489" s="450">
        <v>44439</v>
      </c>
      <c r="M2489" s="490"/>
      <c r="N2489" s="490"/>
    </row>
    <row r="2490" spans="1:14" ht="27.75" hidden="1" customHeight="1" outlineLevel="2">
      <c r="A2490" s="438"/>
      <c r="B2490" s="452" t="s">
        <v>298</v>
      </c>
      <c r="C2490" s="398" t="s">
        <v>47</v>
      </c>
      <c r="D2490" s="454" t="s">
        <v>1830</v>
      </c>
      <c r="E2490" s="385"/>
      <c r="F2490" s="385"/>
      <c r="G2490" s="385"/>
      <c r="H2490" s="401" t="s">
        <v>3060</v>
      </c>
      <c r="I2490" s="385" t="s">
        <v>171</v>
      </c>
      <c r="J2490" s="489"/>
      <c r="K2490" s="450"/>
      <c r="L2490" s="450"/>
      <c r="M2490" s="490" t="s">
        <v>37</v>
      </c>
      <c r="N2490" s="490">
        <v>1</v>
      </c>
    </row>
    <row r="2491" spans="1:14" hidden="1" outlineLevel="2">
      <c r="A2491" s="438"/>
      <c r="B2491" s="452" t="s">
        <v>298</v>
      </c>
      <c r="C2491" s="398" t="s">
        <v>47</v>
      </c>
      <c r="D2491" s="454" t="s">
        <v>1830</v>
      </c>
      <c r="E2491" s="385"/>
      <c r="F2491" s="385"/>
      <c r="G2491" s="385"/>
      <c r="H2491" s="401" t="s">
        <v>3130</v>
      </c>
      <c r="I2491" s="385" t="s">
        <v>164</v>
      </c>
      <c r="J2491" s="489"/>
      <c r="K2491" s="450"/>
      <c r="L2491" s="450"/>
      <c r="M2491" s="490" t="s">
        <v>37</v>
      </c>
      <c r="N2491" s="490">
        <v>1</v>
      </c>
    </row>
    <row r="2492" spans="1:14" s="384" customFormat="1" ht="40.5" outlineLevel="1" collapsed="1">
      <c r="A2492" s="489" t="s">
        <v>3145</v>
      </c>
      <c r="B2492" s="452" t="s">
        <v>298</v>
      </c>
      <c r="C2492" s="455" t="s">
        <v>47</v>
      </c>
      <c r="D2492" s="455" t="s">
        <v>1830</v>
      </c>
      <c r="E2492" s="385" t="s">
        <v>3152</v>
      </c>
      <c r="F2492" s="385" t="s">
        <v>303</v>
      </c>
      <c r="G2492" s="385"/>
      <c r="H2492" s="401" t="s">
        <v>3153</v>
      </c>
      <c r="I2492" s="385" t="str">
        <f>CONCATENATE(I2493," ","(",H2493,")","-",N2493," ",M2493," ",I2494," ","(",H2494,")","-",N2494," ",M2494," ")</f>
        <v xml:space="preserve">Ремонт РУ10-0,4 кВ (ТР 1Т)-1 шт. Ремонт строительной части ТП, КТП (восстановление надписей-50букв)-1 шт. </v>
      </c>
      <c r="J2492" s="489" t="s">
        <v>366</v>
      </c>
      <c r="K2492" s="450">
        <v>44409</v>
      </c>
      <c r="L2492" s="450">
        <v>44439</v>
      </c>
      <c r="M2492" s="490"/>
      <c r="N2492" s="490"/>
    </row>
    <row r="2493" spans="1:14" hidden="1" outlineLevel="2">
      <c r="A2493" s="438"/>
      <c r="B2493" s="452" t="s">
        <v>298</v>
      </c>
      <c r="C2493" s="398" t="s">
        <v>47</v>
      </c>
      <c r="D2493" s="454" t="s">
        <v>1830</v>
      </c>
      <c r="E2493" s="385"/>
      <c r="F2493" s="385"/>
      <c r="G2493" s="385"/>
      <c r="H2493" s="401" t="s">
        <v>3060</v>
      </c>
      <c r="I2493" s="385" t="s">
        <v>171</v>
      </c>
      <c r="J2493" s="489"/>
      <c r="K2493" s="450"/>
      <c r="L2493" s="450"/>
      <c r="M2493" s="490" t="s">
        <v>37</v>
      </c>
      <c r="N2493" s="490">
        <v>1</v>
      </c>
    </row>
    <row r="2494" spans="1:14" hidden="1" outlineLevel="2">
      <c r="A2494" s="438"/>
      <c r="B2494" s="452" t="s">
        <v>298</v>
      </c>
      <c r="C2494" s="398" t="s">
        <v>47</v>
      </c>
      <c r="D2494" s="454" t="s">
        <v>1830</v>
      </c>
      <c r="E2494" s="385"/>
      <c r="F2494" s="385"/>
      <c r="G2494" s="385"/>
      <c r="H2494" s="401" t="s">
        <v>3130</v>
      </c>
      <c r="I2494" s="385" t="s">
        <v>164</v>
      </c>
      <c r="J2494" s="489"/>
      <c r="K2494" s="450"/>
      <c r="L2494" s="450"/>
      <c r="M2494" s="490" t="s">
        <v>37</v>
      </c>
      <c r="N2494" s="490">
        <v>1</v>
      </c>
    </row>
    <row r="2495" spans="1:14" s="384" customFormat="1" ht="60.75" outlineLevel="1" collapsed="1">
      <c r="A2495" s="489" t="s">
        <v>3148</v>
      </c>
      <c r="B2495" s="452" t="s">
        <v>298</v>
      </c>
      <c r="C2495" s="455" t="s">
        <v>47</v>
      </c>
      <c r="D2495" s="455" t="s">
        <v>1830</v>
      </c>
      <c r="E2495" s="385" t="s">
        <v>3155</v>
      </c>
      <c r="F2495" s="385" t="s">
        <v>303</v>
      </c>
      <c r="G2495" s="385"/>
      <c r="H2495" s="401" t="s">
        <v>3156</v>
      </c>
      <c r="I2495" s="385" t="str">
        <f>CONCATENATE(I2496," ","(",H2496,")","-",N2496," ",M2496," ",I2497," ","(",H2497,")","-",N2497," ",M2497," ")</f>
        <v xml:space="preserve">Ремонт РУ10-0,4 кВ (ТР 1Т, замена АВ-2шт)-1 шт. Ремонт строительной части ТП, КТП (восстановление надписей-50букв)-1 шт. </v>
      </c>
      <c r="J2495" s="489" t="s">
        <v>366</v>
      </c>
      <c r="K2495" s="450">
        <v>44440</v>
      </c>
      <c r="L2495" s="450">
        <v>44469</v>
      </c>
      <c r="M2495" s="490"/>
      <c r="N2495" s="490"/>
    </row>
    <row r="2496" spans="1:14" hidden="1" outlineLevel="2">
      <c r="A2496" s="438"/>
      <c r="B2496" s="452" t="s">
        <v>298</v>
      </c>
      <c r="C2496" s="398" t="s">
        <v>47</v>
      </c>
      <c r="D2496" s="454" t="s">
        <v>1830</v>
      </c>
      <c r="E2496" s="385"/>
      <c r="F2496" s="385"/>
      <c r="G2496" s="385"/>
      <c r="H2496" s="401" t="s">
        <v>3157</v>
      </c>
      <c r="I2496" s="385" t="s">
        <v>171</v>
      </c>
      <c r="J2496" s="489"/>
      <c r="K2496" s="450"/>
      <c r="L2496" s="450"/>
      <c r="M2496" s="490" t="s">
        <v>37</v>
      </c>
      <c r="N2496" s="490">
        <v>1</v>
      </c>
    </row>
    <row r="2497" spans="1:14" hidden="1" outlineLevel="2">
      <c r="A2497" s="438"/>
      <c r="B2497" s="452" t="s">
        <v>298</v>
      </c>
      <c r="C2497" s="398" t="s">
        <v>47</v>
      </c>
      <c r="D2497" s="454" t="s">
        <v>1830</v>
      </c>
      <c r="E2497" s="385"/>
      <c r="F2497" s="385"/>
      <c r="G2497" s="385"/>
      <c r="H2497" s="401" t="s">
        <v>3130</v>
      </c>
      <c r="I2497" s="385" t="s">
        <v>164</v>
      </c>
      <c r="J2497" s="489"/>
      <c r="K2497" s="450"/>
      <c r="L2497" s="450"/>
      <c r="M2497" s="490" t="s">
        <v>37</v>
      </c>
      <c r="N2497" s="490">
        <v>1</v>
      </c>
    </row>
    <row r="2498" spans="1:14" s="384" customFormat="1" ht="40.5" outlineLevel="1" collapsed="1">
      <c r="A2498" s="489" t="s">
        <v>3151</v>
      </c>
      <c r="B2498" s="452" t="s">
        <v>298</v>
      </c>
      <c r="C2498" s="455" t="s">
        <v>47</v>
      </c>
      <c r="D2498" s="455" t="s">
        <v>1830</v>
      </c>
      <c r="E2498" s="385" t="s">
        <v>3159</v>
      </c>
      <c r="F2498" s="385" t="s">
        <v>303</v>
      </c>
      <c r="G2498" s="385"/>
      <c r="H2498" s="401" t="s">
        <v>3160</v>
      </c>
      <c r="I2498" s="385" t="str">
        <f>CONCATENATE(I2499," ","(",H2499,")","-",N2499," ",M2499," ",I2500," ","(",H2500,")","-",N2500," ",M2500," ")</f>
        <v xml:space="preserve">Ремонт РУ10-0,4 кВ (ТР 1Т)-1 шт. Ремонт строительной части ТП, КТП (восстановление надписей-50букв)-1 шт. </v>
      </c>
      <c r="J2498" s="489" t="s">
        <v>366</v>
      </c>
      <c r="K2498" s="450">
        <v>44440</v>
      </c>
      <c r="L2498" s="450">
        <v>44469</v>
      </c>
      <c r="M2498" s="490"/>
      <c r="N2498" s="490"/>
    </row>
    <row r="2499" spans="1:14" hidden="1" outlineLevel="2">
      <c r="A2499" s="438"/>
      <c r="B2499" s="452" t="s">
        <v>298</v>
      </c>
      <c r="C2499" s="398" t="s">
        <v>47</v>
      </c>
      <c r="D2499" s="454" t="s">
        <v>1830</v>
      </c>
      <c r="E2499" s="385"/>
      <c r="F2499" s="385"/>
      <c r="G2499" s="385"/>
      <c r="H2499" s="401" t="s">
        <v>3060</v>
      </c>
      <c r="I2499" s="385" t="s">
        <v>171</v>
      </c>
      <c r="J2499" s="489"/>
      <c r="K2499" s="450"/>
      <c r="L2499" s="450"/>
      <c r="M2499" s="490" t="s">
        <v>37</v>
      </c>
      <c r="N2499" s="490">
        <v>1</v>
      </c>
    </row>
    <row r="2500" spans="1:14" hidden="1" outlineLevel="2">
      <c r="A2500" s="438"/>
      <c r="B2500" s="452" t="s">
        <v>298</v>
      </c>
      <c r="C2500" s="398" t="s">
        <v>47</v>
      </c>
      <c r="D2500" s="454" t="s">
        <v>1830</v>
      </c>
      <c r="E2500" s="385"/>
      <c r="F2500" s="385"/>
      <c r="G2500" s="385"/>
      <c r="H2500" s="401" t="s">
        <v>3130</v>
      </c>
      <c r="I2500" s="385" t="s">
        <v>164</v>
      </c>
      <c r="J2500" s="489"/>
      <c r="K2500" s="450"/>
      <c r="L2500" s="450"/>
      <c r="M2500" s="490" t="s">
        <v>37</v>
      </c>
      <c r="N2500" s="490">
        <v>1</v>
      </c>
    </row>
    <row r="2501" spans="1:14" s="384" customFormat="1" ht="60.75" outlineLevel="1" collapsed="1">
      <c r="A2501" s="489" t="s">
        <v>3154</v>
      </c>
      <c r="B2501" s="452" t="s">
        <v>298</v>
      </c>
      <c r="C2501" s="455" t="s">
        <v>47</v>
      </c>
      <c r="D2501" s="455" t="s">
        <v>1830</v>
      </c>
      <c r="E2501" s="385" t="s">
        <v>3161</v>
      </c>
      <c r="F2501" s="385" t="s">
        <v>303</v>
      </c>
      <c r="G2501" s="385"/>
      <c r="H2501" s="401" t="s">
        <v>3162</v>
      </c>
      <c r="I2501" s="385" t="str">
        <f>CONCATENATE(I2502," ","(",H2502,")","-",N2502," ",M2502," ",I2503," ","(",H2503,")","-",N2503," ",M2503," ")</f>
        <v xml:space="preserve">Ремонт РУ10-0,4 кВ (ТР 1Т, замена АВ-3шт)-1 шт. Ремонт строительной части ТП, КТП (восстановление надписей-50букв)-1 шт. </v>
      </c>
      <c r="J2501" s="489" t="s">
        <v>366</v>
      </c>
      <c r="K2501" s="450">
        <v>44440</v>
      </c>
      <c r="L2501" s="450">
        <v>44469</v>
      </c>
      <c r="M2501" s="490"/>
      <c r="N2501" s="490"/>
    </row>
    <row r="2502" spans="1:14" hidden="1" outlineLevel="2">
      <c r="A2502" s="438"/>
      <c r="B2502" s="452" t="s">
        <v>298</v>
      </c>
      <c r="C2502" s="398" t="s">
        <v>47</v>
      </c>
      <c r="D2502" s="454" t="s">
        <v>1830</v>
      </c>
      <c r="E2502" s="385"/>
      <c r="F2502" s="385"/>
      <c r="G2502" s="385"/>
      <c r="H2502" s="401" t="s">
        <v>3163</v>
      </c>
      <c r="I2502" s="385" t="s">
        <v>171</v>
      </c>
      <c r="J2502" s="489"/>
      <c r="K2502" s="450"/>
      <c r="L2502" s="450"/>
      <c r="M2502" s="490" t="s">
        <v>37</v>
      </c>
      <c r="N2502" s="490">
        <v>1</v>
      </c>
    </row>
    <row r="2503" spans="1:14" hidden="1" outlineLevel="2">
      <c r="A2503" s="438"/>
      <c r="B2503" s="452" t="s">
        <v>298</v>
      </c>
      <c r="C2503" s="398" t="s">
        <v>47</v>
      </c>
      <c r="D2503" s="454" t="s">
        <v>1830</v>
      </c>
      <c r="E2503" s="385"/>
      <c r="F2503" s="385"/>
      <c r="G2503" s="385"/>
      <c r="H2503" s="401" t="s">
        <v>3130</v>
      </c>
      <c r="I2503" s="385" t="s">
        <v>164</v>
      </c>
      <c r="J2503" s="489"/>
      <c r="K2503" s="450"/>
      <c r="L2503" s="450"/>
      <c r="M2503" s="490" t="s">
        <v>37</v>
      </c>
      <c r="N2503" s="490">
        <v>1</v>
      </c>
    </row>
    <row r="2504" spans="1:14" s="384" customFormat="1" ht="60.75" outlineLevel="1" collapsed="1">
      <c r="A2504" s="489" t="s">
        <v>3158</v>
      </c>
      <c r="B2504" s="452" t="s">
        <v>298</v>
      </c>
      <c r="C2504" s="455" t="s">
        <v>47</v>
      </c>
      <c r="D2504" s="455" t="s">
        <v>1830</v>
      </c>
      <c r="E2504" s="385" t="s">
        <v>3164</v>
      </c>
      <c r="F2504" s="385" t="s">
        <v>303</v>
      </c>
      <c r="G2504" s="385"/>
      <c r="H2504" s="401" t="s">
        <v>3165</v>
      </c>
      <c r="I2504" s="385" t="str">
        <f>CONCATENATE(I2505," ","(",H2505,")","-",N2505," ",M2505," ",I2506," ","(",H2506,")","-",N2506," ",M2506," ")</f>
        <v xml:space="preserve">Ремонт РУ10-0,4 кВ (замена АВ-1шт)-1 шт. Ремонт строительной части ТП, КТП (ремонт дверей с усиленим металлом-2шт, восстановление надписей-50букв)-1 шт. </v>
      </c>
      <c r="J2504" s="489" t="s">
        <v>366</v>
      </c>
      <c r="K2504" s="450">
        <v>44378</v>
      </c>
      <c r="L2504" s="450">
        <v>44408</v>
      </c>
      <c r="M2504" s="490"/>
      <c r="N2504" s="490"/>
    </row>
    <row r="2505" spans="1:14" hidden="1" outlineLevel="2">
      <c r="A2505" s="438"/>
      <c r="B2505" s="452" t="s">
        <v>298</v>
      </c>
      <c r="C2505" s="398" t="s">
        <v>47</v>
      </c>
      <c r="D2505" s="454" t="s">
        <v>1830</v>
      </c>
      <c r="E2505" s="385"/>
      <c r="F2505" s="385"/>
      <c r="G2505" s="385"/>
      <c r="H2505" s="401" t="s">
        <v>3166</v>
      </c>
      <c r="I2505" s="385" t="s">
        <v>171</v>
      </c>
      <c r="J2505" s="489"/>
      <c r="K2505" s="450"/>
      <c r="L2505" s="450"/>
      <c r="M2505" s="490" t="s">
        <v>37</v>
      </c>
      <c r="N2505" s="490">
        <v>1</v>
      </c>
    </row>
    <row r="2506" spans="1:14" ht="40.5" hidden="1" outlineLevel="2">
      <c r="A2506" s="438"/>
      <c r="B2506" s="452" t="s">
        <v>298</v>
      </c>
      <c r="C2506" s="398" t="s">
        <v>47</v>
      </c>
      <c r="D2506" s="454" t="s">
        <v>1830</v>
      </c>
      <c r="E2506" s="385"/>
      <c r="F2506" s="385"/>
      <c r="G2506" s="385"/>
      <c r="H2506" s="401" t="s">
        <v>3167</v>
      </c>
      <c r="I2506" s="385" t="s">
        <v>164</v>
      </c>
      <c r="J2506" s="489"/>
      <c r="K2506" s="450"/>
      <c r="L2506" s="450"/>
      <c r="M2506" s="490" t="s">
        <v>37</v>
      </c>
      <c r="N2506" s="490">
        <v>1</v>
      </c>
    </row>
    <row r="2507" spans="1:14">
      <c r="A2507" s="403" t="s">
        <v>334</v>
      </c>
      <c r="B2507" s="403"/>
      <c r="C2507" s="403"/>
      <c r="D2507" s="403"/>
      <c r="E2507" s="490"/>
      <c r="F2507" s="385"/>
      <c r="G2507" s="385"/>
      <c r="H2507" s="539" t="s">
        <v>333</v>
      </c>
      <c r="I2507" s="385"/>
      <c r="J2507" s="489"/>
      <c r="K2507" s="450"/>
      <c r="L2507" s="450"/>
      <c r="M2507" s="389"/>
      <c r="N2507" s="389"/>
    </row>
    <row r="2508" spans="1:14" outlineLevel="1" collapsed="1">
      <c r="A2508" s="403" t="s">
        <v>335</v>
      </c>
      <c r="B2508" s="403"/>
      <c r="C2508" s="403"/>
      <c r="D2508" s="403"/>
      <c r="E2508" s="490"/>
      <c r="F2508" s="385"/>
      <c r="G2508" s="385"/>
      <c r="H2508" s="385" t="s">
        <v>56</v>
      </c>
      <c r="I2508" s="385"/>
      <c r="J2508" s="489"/>
      <c r="K2508" s="450"/>
      <c r="L2508" s="450"/>
      <c r="M2508" s="415"/>
      <c r="N2508" s="415"/>
    </row>
    <row r="2509" spans="1:14" s="384" customFormat="1" ht="40.5" hidden="1" outlineLevel="2" collapsed="1">
      <c r="A2509" s="489" t="s">
        <v>1428</v>
      </c>
      <c r="B2509" s="490"/>
      <c r="C2509" s="455" t="s">
        <v>49</v>
      </c>
      <c r="D2509" s="455" t="s">
        <v>1830</v>
      </c>
      <c r="E2509" s="490" t="s">
        <v>3168</v>
      </c>
      <c r="F2509" s="385" t="s">
        <v>303</v>
      </c>
      <c r="G2509" s="385"/>
      <c r="H2509" s="401" t="s">
        <v>3169</v>
      </c>
      <c r="I2509" s="385" t="str">
        <f>CONCATENATE(I2510," ","(",H2510,")","-",N2510," ",M2510," ",I2511," ","(",H2511,")","-",N2511," ",M2511," ")</f>
        <v xml:space="preserve"> (Коробка отбора мощности )-1 шт  (Цепь кабельная буксируемая )-1 шт </v>
      </c>
      <c r="J2509" s="489" t="s">
        <v>365</v>
      </c>
      <c r="K2509" s="450">
        <v>44348</v>
      </c>
      <c r="L2509" s="450">
        <v>44377</v>
      </c>
      <c r="M2509" s="540"/>
      <c r="N2509" s="540"/>
    </row>
    <row r="2510" spans="1:14" hidden="1" outlineLevel="3">
      <c r="A2510" s="489"/>
      <c r="B2510" s="490"/>
      <c r="C2510" s="455" t="s">
        <v>49</v>
      </c>
      <c r="D2510" s="455" t="s">
        <v>1830</v>
      </c>
      <c r="E2510" s="490"/>
      <c r="F2510" s="385"/>
      <c r="G2510" s="385"/>
      <c r="H2510" s="401" t="s">
        <v>3600</v>
      </c>
      <c r="I2510" s="385"/>
      <c r="J2510" s="489"/>
      <c r="K2510" s="450"/>
      <c r="L2510" s="450"/>
      <c r="M2510" s="490" t="s">
        <v>813</v>
      </c>
      <c r="N2510" s="490">
        <v>1</v>
      </c>
    </row>
    <row r="2511" spans="1:14" hidden="1" outlineLevel="3">
      <c r="A2511" s="489"/>
      <c r="B2511" s="490"/>
      <c r="C2511" s="455" t="s">
        <v>49</v>
      </c>
      <c r="D2511" s="455" t="s">
        <v>1830</v>
      </c>
      <c r="E2511" s="490"/>
      <c r="F2511" s="385"/>
      <c r="G2511" s="385"/>
      <c r="H2511" s="401" t="s">
        <v>3601</v>
      </c>
      <c r="I2511" s="385"/>
      <c r="J2511" s="489"/>
      <c r="K2511" s="450"/>
      <c r="L2511" s="450"/>
      <c r="M2511" s="490" t="s">
        <v>813</v>
      </c>
      <c r="N2511" s="490">
        <v>1</v>
      </c>
    </row>
    <row r="2512" spans="1:14" s="384" customFormat="1" ht="40.5" hidden="1" outlineLevel="2" collapsed="1">
      <c r="A2512" s="489" t="s">
        <v>1429</v>
      </c>
      <c r="B2512" s="490"/>
      <c r="C2512" s="455" t="s">
        <v>49</v>
      </c>
      <c r="D2512" s="455" t="s">
        <v>1830</v>
      </c>
      <c r="E2512" s="490" t="s">
        <v>3170</v>
      </c>
      <c r="F2512" s="385" t="s">
        <v>303</v>
      </c>
      <c r="G2512" s="385"/>
      <c r="H2512" s="401" t="s">
        <v>3171</v>
      </c>
      <c r="I2512" s="385" t="str">
        <f>CONCATENATE(I2513," ","(",H2513,")","-",N2513," ",M2513," ",I2514," ","(",H2514,")","-",N2514," ",M2514," ")</f>
        <v xml:space="preserve"> (Диск колеса передний)-1 шт  (Диск колеса задний)-1 шт </v>
      </c>
      <c r="J2512" s="489" t="s">
        <v>365</v>
      </c>
      <c r="K2512" s="450">
        <v>44470</v>
      </c>
      <c r="L2512" s="450">
        <v>44499</v>
      </c>
      <c r="M2512" s="540"/>
      <c r="N2512" s="540"/>
    </row>
    <row r="2513" spans="1:14" hidden="1" outlineLevel="3">
      <c r="A2513" s="489"/>
      <c r="B2513" s="490"/>
      <c r="C2513" s="455" t="s">
        <v>49</v>
      </c>
      <c r="D2513" s="455" t="s">
        <v>1830</v>
      </c>
      <c r="E2513" s="490"/>
      <c r="F2513" s="385"/>
      <c r="G2513" s="385"/>
      <c r="H2513" s="401" t="s">
        <v>3602</v>
      </c>
      <c r="I2513" s="385"/>
      <c r="J2513" s="489"/>
      <c r="K2513" s="450"/>
      <c r="L2513" s="450"/>
      <c r="M2513" s="490" t="s">
        <v>813</v>
      </c>
      <c r="N2513" s="490">
        <v>1</v>
      </c>
    </row>
    <row r="2514" spans="1:14" hidden="1" outlineLevel="3">
      <c r="A2514" s="489"/>
      <c r="B2514" s="490"/>
      <c r="C2514" s="455" t="s">
        <v>49</v>
      </c>
      <c r="D2514" s="455" t="s">
        <v>1830</v>
      </c>
      <c r="E2514" s="490"/>
      <c r="F2514" s="385"/>
      <c r="G2514" s="385"/>
      <c r="H2514" s="401" t="s">
        <v>3603</v>
      </c>
      <c r="I2514" s="385"/>
      <c r="J2514" s="489"/>
      <c r="K2514" s="450"/>
      <c r="L2514" s="450"/>
      <c r="M2514" s="490" t="s">
        <v>813</v>
      </c>
      <c r="N2514" s="490">
        <v>1</v>
      </c>
    </row>
    <row r="2515" spans="1:14" s="384" customFormat="1" ht="40.5" hidden="1" outlineLevel="2" collapsed="1">
      <c r="A2515" s="489" t="s">
        <v>1430</v>
      </c>
      <c r="B2515" s="490"/>
      <c r="C2515" s="398" t="s">
        <v>3172</v>
      </c>
      <c r="D2515" s="455" t="s">
        <v>1830</v>
      </c>
      <c r="E2515" s="490" t="s">
        <v>3173</v>
      </c>
      <c r="F2515" s="385" t="s">
        <v>303</v>
      </c>
      <c r="G2515" s="385"/>
      <c r="H2515" s="401" t="s">
        <v>3174</v>
      </c>
      <c r="I2515" s="385" t="str">
        <f>CONCATENATE(I2516," ","(",H2516,")","-",N2516," ",M2516," ",I2517," ","(",H2517,")","-",N2517," ",M2517," ",I2518," ","(",H2518,")","-",N2518," ",M2518," ")</f>
        <v xml:space="preserve"> (Бур лопастной )-1 шт  (Резец)-27 шт  (Забурник 300 А)-1 шт </v>
      </c>
      <c r="J2515" s="489" t="s">
        <v>365</v>
      </c>
      <c r="K2515" s="450">
        <v>44440</v>
      </c>
      <c r="L2515" s="450">
        <v>44499</v>
      </c>
      <c r="M2515" s="540"/>
      <c r="N2515" s="540"/>
    </row>
    <row r="2516" spans="1:14" hidden="1" outlineLevel="3">
      <c r="A2516" s="489"/>
      <c r="B2516" s="490"/>
      <c r="C2516" s="398" t="s">
        <v>3172</v>
      </c>
      <c r="D2516" s="455" t="s">
        <v>1830</v>
      </c>
      <c r="E2516" s="490"/>
      <c r="F2516" s="451"/>
      <c r="G2516" s="385"/>
      <c r="H2516" s="401" t="s">
        <v>3604</v>
      </c>
      <c r="I2516" s="385"/>
      <c r="J2516" s="489"/>
      <c r="K2516" s="450"/>
      <c r="L2516" s="450"/>
      <c r="M2516" s="490" t="s">
        <v>813</v>
      </c>
      <c r="N2516" s="490">
        <v>1</v>
      </c>
    </row>
    <row r="2517" spans="1:14" hidden="1" outlineLevel="3">
      <c r="A2517" s="489"/>
      <c r="B2517" s="490"/>
      <c r="C2517" s="398" t="s">
        <v>3172</v>
      </c>
      <c r="D2517" s="455" t="s">
        <v>1830</v>
      </c>
      <c r="E2517" s="490"/>
      <c r="F2517" s="451"/>
      <c r="G2517" s="385"/>
      <c r="H2517" s="401" t="s">
        <v>3605</v>
      </c>
      <c r="I2517" s="385"/>
      <c r="J2517" s="489"/>
      <c r="K2517" s="450"/>
      <c r="L2517" s="450"/>
      <c r="M2517" s="490" t="s">
        <v>813</v>
      </c>
      <c r="N2517" s="490">
        <v>27</v>
      </c>
    </row>
    <row r="2518" spans="1:14" hidden="1" outlineLevel="3">
      <c r="A2518" s="489"/>
      <c r="B2518" s="490"/>
      <c r="C2518" s="398" t="s">
        <v>3172</v>
      </c>
      <c r="D2518" s="455" t="s">
        <v>1830</v>
      </c>
      <c r="E2518" s="490"/>
      <c r="F2518" s="451"/>
      <c r="G2518" s="385"/>
      <c r="H2518" s="401" t="s">
        <v>3606</v>
      </c>
      <c r="I2518" s="385"/>
      <c r="J2518" s="489"/>
      <c r="K2518" s="450"/>
      <c r="L2518" s="450"/>
      <c r="M2518" s="490" t="s">
        <v>813</v>
      </c>
      <c r="N2518" s="490">
        <v>1</v>
      </c>
    </row>
    <row r="2519" spans="1:14" s="384" customFormat="1" ht="40.5" hidden="1" outlineLevel="2" collapsed="1">
      <c r="A2519" s="489" t="s">
        <v>1431</v>
      </c>
      <c r="B2519" s="490"/>
      <c r="C2519" s="398" t="s">
        <v>3172</v>
      </c>
      <c r="D2519" s="455" t="s">
        <v>1830</v>
      </c>
      <c r="E2519" s="490" t="s">
        <v>3175</v>
      </c>
      <c r="F2519" s="385" t="s">
        <v>303</v>
      </c>
      <c r="G2519" s="385"/>
      <c r="H2519" s="401" t="s">
        <v>3176</v>
      </c>
      <c r="I2519" s="385" t="str">
        <f>CONCATENATE(I2520," ","(",H2520,")","-",N2520," ",M2520," ",I2521," ","(",H2521,")","-",N2521," ",M2521," ",I2522," ","(",H2522,")","-",N2522," ",M2522," ")</f>
        <v xml:space="preserve"> (Бур лопастной)-1 шт  (Резец)-39 шт  (Забурник 300 А)-1 шт </v>
      </c>
      <c r="J2519" s="489" t="s">
        <v>365</v>
      </c>
      <c r="K2519" s="450">
        <v>44440</v>
      </c>
      <c r="L2519" s="450">
        <v>44530</v>
      </c>
      <c r="M2519" s="540"/>
      <c r="N2519" s="540"/>
    </row>
    <row r="2520" spans="1:14" hidden="1" outlineLevel="3">
      <c r="A2520" s="489"/>
      <c r="B2520" s="490"/>
      <c r="C2520" s="398" t="s">
        <v>3172</v>
      </c>
      <c r="D2520" s="455" t="s">
        <v>1830</v>
      </c>
      <c r="E2520" s="490"/>
      <c r="F2520" s="451"/>
      <c r="G2520" s="385"/>
      <c r="H2520" s="401" t="s">
        <v>3607</v>
      </c>
      <c r="I2520" s="385"/>
      <c r="J2520" s="489"/>
      <c r="K2520" s="450"/>
      <c r="L2520" s="450"/>
      <c r="M2520" s="490" t="s">
        <v>813</v>
      </c>
      <c r="N2520" s="490">
        <v>1</v>
      </c>
    </row>
    <row r="2521" spans="1:14" hidden="1" outlineLevel="3">
      <c r="A2521" s="489"/>
      <c r="B2521" s="490"/>
      <c r="C2521" s="398" t="s">
        <v>3172</v>
      </c>
      <c r="D2521" s="455" t="s">
        <v>1830</v>
      </c>
      <c r="E2521" s="490"/>
      <c r="F2521" s="451"/>
      <c r="G2521" s="385"/>
      <c r="H2521" s="401" t="s">
        <v>3605</v>
      </c>
      <c r="I2521" s="385"/>
      <c r="J2521" s="489"/>
      <c r="K2521" s="450"/>
      <c r="L2521" s="450"/>
      <c r="M2521" s="490" t="s">
        <v>813</v>
      </c>
      <c r="N2521" s="490">
        <v>39</v>
      </c>
    </row>
    <row r="2522" spans="1:14" hidden="1" outlineLevel="3">
      <c r="A2522" s="489"/>
      <c r="B2522" s="490"/>
      <c r="C2522" s="398" t="s">
        <v>3172</v>
      </c>
      <c r="D2522" s="455" t="s">
        <v>1830</v>
      </c>
      <c r="E2522" s="490"/>
      <c r="F2522" s="451"/>
      <c r="G2522" s="385"/>
      <c r="H2522" s="401" t="s">
        <v>3606</v>
      </c>
      <c r="I2522" s="385"/>
      <c r="J2522" s="489"/>
      <c r="K2522" s="450"/>
      <c r="L2522" s="450"/>
      <c r="M2522" s="490" t="s">
        <v>813</v>
      </c>
      <c r="N2522" s="490">
        <v>1</v>
      </c>
    </row>
    <row r="2523" spans="1:14" s="384" customFormat="1" ht="68.25" hidden="1" customHeight="1" outlineLevel="2" collapsed="1">
      <c r="A2523" s="489" t="s">
        <v>1432</v>
      </c>
      <c r="B2523" s="490"/>
      <c r="C2523" s="455" t="s">
        <v>3172</v>
      </c>
      <c r="D2523" s="455" t="s">
        <v>1830</v>
      </c>
      <c r="E2523" s="490" t="s">
        <v>3177</v>
      </c>
      <c r="F2523" s="385" t="s">
        <v>303</v>
      </c>
      <c r="G2523" s="385"/>
      <c r="H2523" s="401" t="s">
        <v>3178</v>
      </c>
      <c r="I2523" s="385" t="str">
        <f>CONCATENATE(I2524," ","(",H2524,")","-",N2524," ",M2524)</f>
        <v xml:space="preserve"> (Гусеница)-1 компл</v>
      </c>
      <c r="J2523" s="489" t="s">
        <v>365</v>
      </c>
      <c r="K2523" s="450">
        <v>44470</v>
      </c>
      <c r="L2523" s="450">
        <v>44530</v>
      </c>
      <c r="M2523" s="540"/>
      <c r="N2523" s="540"/>
    </row>
    <row r="2524" spans="1:14" hidden="1" outlineLevel="3">
      <c r="A2524" s="489"/>
      <c r="B2524" s="490"/>
      <c r="C2524" s="398" t="s">
        <v>3172</v>
      </c>
      <c r="D2524" s="455" t="s">
        <v>1830</v>
      </c>
      <c r="E2524" s="490"/>
      <c r="F2524" s="451"/>
      <c r="G2524" s="385"/>
      <c r="H2524" s="401" t="s">
        <v>3608</v>
      </c>
      <c r="I2524" s="385"/>
      <c r="J2524" s="489"/>
      <c r="K2524" s="450"/>
      <c r="L2524" s="450"/>
      <c r="M2524" s="490" t="s">
        <v>3609</v>
      </c>
      <c r="N2524" s="490">
        <v>1</v>
      </c>
    </row>
    <row r="2525" spans="1:14" s="384" customFormat="1" ht="72" hidden="1" customHeight="1" outlineLevel="2" collapsed="1">
      <c r="A2525" s="489" t="s">
        <v>1433</v>
      </c>
      <c r="B2525" s="490"/>
      <c r="C2525" s="455" t="s">
        <v>1989</v>
      </c>
      <c r="D2525" s="455" t="s">
        <v>1830</v>
      </c>
      <c r="E2525" s="490" t="s">
        <v>3179</v>
      </c>
      <c r="F2525" s="385" t="s">
        <v>303</v>
      </c>
      <c r="G2525" s="385"/>
      <c r="H2525" s="401" t="s">
        <v>3180</v>
      </c>
      <c r="I2525" s="385" t="str">
        <f>CONCATENATE(I2526," ","(",H2526,")","-",N2526," ",M2526," ",I2527," ","(",H2527,")","-",N2527," ",M2527," ",I2528," ","(",H2528,")","-",N2528," ",M2528," ",I2529," ","(",H2529,")","-",N2529," ",M2529," ")</f>
        <v xml:space="preserve"> (Редукор передний )-1 шт  (Рессора)-1 шт  (реле поворотное)-1 шт  (Бур)-1 шт </v>
      </c>
      <c r="J2525" s="489" t="s">
        <v>365</v>
      </c>
      <c r="K2525" s="450">
        <v>44470</v>
      </c>
      <c r="L2525" s="450">
        <v>44561</v>
      </c>
      <c r="M2525" s="540"/>
      <c r="N2525" s="540"/>
    </row>
    <row r="2526" spans="1:14" hidden="1" outlineLevel="3">
      <c r="A2526" s="489"/>
      <c r="B2526" s="490"/>
      <c r="C2526" s="455"/>
      <c r="D2526" s="455"/>
      <c r="E2526" s="490"/>
      <c r="F2526" s="451"/>
      <c r="G2526" s="385"/>
      <c r="H2526" s="401" t="s">
        <v>3610</v>
      </c>
      <c r="I2526" s="385"/>
      <c r="J2526" s="489"/>
      <c r="K2526" s="450"/>
      <c r="L2526" s="450"/>
      <c r="M2526" s="490" t="s">
        <v>813</v>
      </c>
      <c r="N2526" s="490">
        <v>1</v>
      </c>
    </row>
    <row r="2527" spans="1:14" hidden="1" outlineLevel="3">
      <c r="A2527" s="489"/>
      <c r="B2527" s="490"/>
      <c r="C2527" s="455"/>
      <c r="D2527" s="455"/>
      <c r="E2527" s="490"/>
      <c r="F2527" s="451"/>
      <c r="G2527" s="385"/>
      <c r="H2527" s="401" t="s">
        <v>3611</v>
      </c>
      <c r="I2527" s="385"/>
      <c r="J2527" s="489"/>
      <c r="K2527" s="450"/>
      <c r="L2527" s="450"/>
      <c r="M2527" s="490" t="s">
        <v>813</v>
      </c>
      <c r="N2527" s="490">
        <v>1</v>
      </c>
    </row>
    <row r="2528" spans="1:14" hidden="1" outlineLevel="3">
      <c r="A2528" s="489"/>
      <c r="B2528" s="490"/>
      <c r="C2528" s="455"/>
      <c r="D2528" s="455"/>
      <c r="E2528" s="490"/>
      <c r="F2528" s="451"/>
      <c r="G2528" s="385"/>
      <c r="H2528" s="401" t="s">
        <v>3612</v>
      </c>
      <c r="I2528" s="385"/>
      <c r="J2528" s="489"/>
      <c r="K2528" s="450"/>
      <c r="L2528" s="450"/>
      <c r="M2528" s="490" t="s">
        <v>813</v>
      </c>
      <c r="N2528" s="490">
        <v>1</v>
      </c>
    </row>
    <row r="2529" spans="1:14" hidden="1" outlineLevel="3">
      <c r="A2529" s="489"/>
      <c r="B2529" s="490"/>
      <c r="C2529" s="455"/>
      <c r="D2529" s="455"/>
      <c r="E2529" s="490"/>
      <c r="F2529" s="451"/>
      <c r="G2529" s="385"/>
      <c r="H2529" s="401" t="s">
        <v>3613</v>
      </c>
      <c r="I2529" s="385"/>
      <c r="J2529" s="489"/>
      <c r="K2529" s="450"/>
      <c r="L2529" s="450"/>
      <c r="M2529" s="490" t="s">
        <v>813</v>
      </c>
      <c r="N2529" s="490">
        <v>1</v>
      </c>
    </row>
    <row r="2530" spans="1:14" s="384" customFormat="1" ht="70.5" hidden="1" customHeight="1" outlineLevel="2" collapsed="1">
      <c r="A2530" s="489" t="s">
        <v>1434</v>
      </c>
      <c r="B2530" s="490"/>
      <c r="C2530" s="455" t="s">
        <v>1989</v>
      </c>
      <c r="D2530" s="455" t="s">
        <v>1830</v>
      </c>
      <c r="E2530" s="490" t="s">
        <v>3181</v>
      </c>
      <c r="F2530" s="385" t="s">
        <v>303</v>
      </c>
      <c r="G2530" s="385"/>
      <c r="H2530" s="401" t="s">
        <v>3182</v>
      </c>
      <c r="I2530" s="385" t="str">
        <f>CONCATENATE(I2531," ","(",H2531,")","-",N2531," ",M2531," ",I2532," ","(",H2532,")","-",N2532," ",M2532," ",I2533," ","(",H2533,")","-",N2533," ",M2533," ",I2534," ","(",H2534,")","-",N2534," ",M2534," ")</f>
        <v xml:space="preserve"> (Генератор)-1 шт  ( вал карданный)-1 шт  (коробка раздаточная)-1 шт  (насос гидроусилителя)-1 шт </v>
      </c>
      <c r="J2530" s="489" t="s">
        <v>365</v>
      </c>
      <c r="K2530" s="450">
        <v>44256</v>
      </c>
      <c r="L2530" s="450">
        <v>44286</v>
      </c>
      <c r="M2530" s="540"/>
      <c r="N2530" s="540"/>
    </row>
    <row r="2531" spans="1:14" s="466" customFormat="1" hidden="1" outlineLevel="3">
      <c r="A2531" s="489"/>
      <c r="B2531" s="490"/>
      <c r="C2531" s="455"/>
      <c r="D2531" s="455"/>
      <c r="E2531" s="490"/>
      <c r="F2531" s="451"/>
      <c r="G2531" s="385"/>
      <c r="H2531" s="401" t="s">
        <v>3614</v>
      </c>
      <c r="I2531" s="385"/>
      <c r="J2531" s="489"/>
      <c r="K2531" s="450"/>
      <c r="L2531" s="450"/>
      <c r="M2531" s="490" t="s">
        <v>813</v>
      </c>
      <c r="N2531" s="490">
        <v>1</v>
      </c>
    </row>
    <row r="2532" spans="1:14" s="466" customFormat="1" hidden="1" outlineLevel="3">
      <c r="A2532" s="489"/>
      <c r="B2532" s="490"/>
      <c r="C2532" s="455"/>
      <c r="D2532" s="455"/>
      <c r="E2532" s="490"/>
      <c r="F2532" s="451"/>
      <c r="G2532" s="385"/>
      <c r="H2532" s="401" t="s">
        <v>3615</v>
      </c>
      <c r="I2532" s="385"/>
      <c r="J2532" s="489"/>
      <c r="K2532" s="450"/>
      <c r="L2532" s="450"/>
      <c r="M2532" s="490" t="s">
        <v>813</v>
      </c>
      <c r="N2532" s="490">
        <v>1</v>
      </c>
    </row>
    <row r="2533" spans="1:14" s="466" customFormat="1" hidden="1" outlineLevel="3">
      <c r="A2533" s="489"/>
      <c r="B2533" s="490"/>
      <c r="C2533" s="455"/>
      <c r="D2533" s="455"/>
      <c r="E2533" s="490"/>
      <c r="F2533" s="451"/>
      <c r="G2533" s="385"/>
      <c r="H2533" s="401" t="s">
        <v>3616</v>
      </c>
      <c r="I2533" s="385"/>
      <c r="J2533" s="489"/>
      <c r="K2533" s="450"/>
      <c r="L2533" s="450"/>
      <c r="M2533" s="490" t="s">
        <v>813</v>
      </c>
      <c r="N2533" s="490">
        <v>1</v>
      </c>
    </row>
    <row r="2534" spans="1:14" s="466" customFormat="1" hidden="1" outlineLevel="3">
      <c r="A2534" s="489"/>
      <c r="B2534" s="490"/>
      <c r="C2534" s="455"/>
      <c r="D2534" s="455"/>
      <c r="E2534" s="490"/>
      <c r="F2534" s="451"/>
      <c r="G2534" s="385"/>
      <c r="H2534" s="401" t="s">
        <v>3617</v>
      </c>
      <c r="I2534" s="385"/>
      <c r="J2534" s="489"/>
      <c r="K2534" s="450"/>
      <c r="L2534" s="450"/>
      <c r="M2534" s="490" t="s">
        <v>813</v>
      </c>
      <c r="N2534" s="490">
        <v>1</v>
      </c>
    </row>
    <row r="2535" spans="1:14" s="384" customFormat="1" ht="70.5" hidden="1" customHeight="1" outlineLevel="2" collapsed="1">
      <c r="A2535" s="489" t="s">
        <v>1435</v>
      </c>
      <c r="B2535" s="490"/>
      <c r="C2535" s="455" t="s">
        <v>1989</v>
      </c>
      <c r="D2535" s="455" t="s">
        <v>1830</v>
      </c>
      <c r="E2535" s="490" t="s">
        <v>3183</v>
      </c>
      <c r="F2535" s="385" t="s">
        <v>303</v>
      </c>
      <c r="G2535" s="385"/>
      <c r="H2535" s="401" t="s">
        <v>3184</v>
      </c>
      <c r="I2535" s="385" t="str">
        <f>CONCATENATE(I2536," ","(",H2536,")","-",N2536," ",M2536," ",I2537," ","(",H2537,")","-",N2537," ",M2537," ")</f>
        <v xml:space="preserve"> (Радиатор)-1 шт  (штанга)-1 шт </v>
      </c>
      <c r="J2535" s="489" t="s">
        <v>365</v>
      </c>
      <c r="K2535" s="450">
        <v>44378</v>
      </c>
      <c r="L2535" s="450">
        <v>44408</v>
      </c>
      <c r="M2535" s="540"/>
      <c r="N2535" s="540"/>
    </row>
    <row r="2536" spans="1:14" s="466" customFormat="1" hidden="1" outlineLevel="3">
      <c r="A2536" s="489"/>
      <c r="B2536" s="490"/>
      <c r="C2536" s="455"/>
      <c r="D2536" s="455"/>
      <c r="E2536" s="490"/>
      <c r="F2536" s="451"/>
      <c r="G2536" s="385"/>
      <c r="H2536" s="401" t="s">
        <v>3618</v>
      </c>
      <c r="I2536" s="385"/>
      <c r="J2536" s="489"/>
      <c r="K2536" s="450"/>
      <c r="L2536" s="450"/>
      <c r="M2536" s="490" t="s">
        <v>813</v>
      </c>
      <c r="N2536" s="490">
        <v>1</v>
      </c>
    </row>
    <row r="2537" spans="1:14" s="466" customFormat="1" hidden="1" outlineLevel="3">
      <c r="A2537" s="489"/>
      <c r="B2537" s="490"/>
      <c r="C2537" s="455"/>
      <c r="D2537" s="455"/>
      <c r="E2537" s="490"/>
      <c r="F2537" s="451"/>
      <c r="G2537" s="385"/>
      <c r="H2537" s="401" t="s">
        <v>3619</v>
      </c>
      <c r="I2537" s="385"/>
      <c r="J2537" s="489"/>
      <c r="K2537" s="450"/>
      <c r="L2537" s="450"/>
      <c r="M2537" s="490" t="s">
        <v>813</v>
      </c>
      <c r="N2537" s="490">
        <v>1</v>
      </c>
    </row>
    <row r="2538" spans="1:14" s="384" customFormat="1" ht="40.5" hidden="1" outlineLevel="2" collapsed="1">
      <c r="A2538" s="489" t="s">
        <v>1436</v>
      </c>
      <c r="B2538" s="490"/>
      <c r="C2538" s="398" t="s">
        <v>47</v>
      </c>
      <c r="D2538" s="455" t="s">
        <v>1830</v>
      </c>
      <c r="E2538" s="385" t="s">
        <v>3187</v>
      </c>
      <c r="F2538" s="385" t="s">
        <v>303</v>
      </c>
      <c r="G2538" s="385"/>
      <c r="H2538" s="401" t="s">
        <v>3188</v>
      </c>
      <c r="I2538" s="385" t="str">
        <f>CONCATENATE(I2539," ","(",H2539,")","-",N2539," ",M2539," ",I2540," ","(",H2540,")","-",N2540," ",M2540," ")</f>
        <v xml:space="preserve"> (замена гидроцилиндра-2шт)-2 шт  (замена подшипников-4шт)-4 шт </v>
      </c>
      <c r="J2538" s="489" t="s">
        <v>365</v>
      </c>
      <c r="K2538" s="450">
        <v>44440</v>
      </c>
      <c r="L2538" s="450">
        <v>44469</v>
      </c>
      <c r="M2538" s="540"/>
      <c r="N2538" s="540"/>
    </row>
    <row r="2539" spans="1:14" hidden="1" outlineLevel="3">
      <c r="A2539" s="438"/>
      <c r="B2539" s="490"/>
      <c r="C2539" s="455"/>
      <c r="D2539" s="455"/>
      <c r="E2539" s="385"/>
      <c r="F2539" s="385"/>
      <c r="G2539" s="385"/>
      <c r="H2539" s="401" t="s">
        <v>3189</v>
      </c>
      <c r="I2539" s="456"/>
      <c r="J2539" s="489" t="s">
        <v>365</v>
      </c>
      <c r="K2539" s="450"/>
      <c r="L2539" s="450"/>
      <c r="M2539" s="490" t="s">
        <v>813</v>
      </c>
      <c r="N2539" s="490">
        <v>2</v>
      </c>
    </row>
    <row r="2540" spans="1:14" hidden="1" outlineLevel="3">
      <c r="A2540" s="438"/>
      <c r="B2540" s="490"/>
      <c r="C2540" s="455"/>
      <c r="D2540" s="455"/>
      <c r="E2540" s="385"/>
      <c r="F2540" s="385"/>
      <c r="G2540" s="385"/>
      <c r="H2540" s="401" t="s">
        <v>3190</v>
      </c>
      <c r="I2540" s="456"/>
      <c r="J2540" s="489"/>
      <c r="K2540" s="450"/>
      <c r="L2540" s="450"/>
      <c r="M2540" s="490" t="s">
        <v>813</v>
      </c>
      <c r="N2540" s="490">
        <v>4</v>
      </c>
    </row>
    <row r="2541" spans="1:14" s="384" customFormat="1" ht="40.5" hidden="1" outlineLevel="2" collapsed="1">
      <c r="A2541" s="454" t="s">
        <v>1656</v>
      </c>
      <c r="B2541" s="490"/>
      <c r="C2541" s="398" t="s">
        <v>47</v>
      </c>
      <c r="D2541" s="455" t="s">
        <v>1830</v>
      </c>
      <c r="E2541" s="385" t="s">
        <v>3191</v>
      </c>
      <c r="F2541" s="385" t="s">
        <v>303</v>
      </c>
      <c r="G2541" s="385"/>
      <c r="H2541" s="401" t="s">
        <v>3192</v>
      </c>
      <c r="I2541" s="385" t="str">
        <f>CONCATENATE(I2542," ","(",H2542,")","-",N2542," ",M2542," ",I2543," ","(",H2543,")","-",N2543," ",M2543," ",I2544," ","(",H2544,")","-",N2544," ",M2544," ")</f>
        <v xml:space="preserve"> (каток поддерживающий )-4 шт  (подогреватель предпусковой)-1 шт  (турбокомпрессор)-1 шт </v>
      </c>
      <c r="J2541" s="489" t="s">
        <v>365</v>
      </c>
      <c r="K2541" s="450">
        <v>44440</v>
      </c>
      <c r="L2541" s="450">
        <v>44469</v>
      </c>
      <c r="M2541" s="540"/>
      <c r="N2541" s="540"/>
    </row>
    <row r="2542" spans="1:14" hidden="1" outlineLevel="3">
      <c r="A2542" s="438"/>
      <c r="B2542" s="490"/>
      <c r="C2542" s="455"/>
      <c r="D2542" s="455"/>
      <c r="E2542" s="385"/>
      <c r="F2542" s="385"/>
      <c r="G2542" s="385"/>
      <c r="H2542" s="401" t="s">
        <v>3620</v>
      </c>
      <c r="I2542" s="456"/>
      <c r="J2542" s="489"/>
      <c r="K2542" s="450"/>
      <c r="L2542" s="450"/>
      <c r="M2542" s="490" t="s">
        <v>813</v>
      </c>
      <c r="N2542" s="490">
        <v>4</v>
      </c>
    </row>
    <row r="2543" spans="1:14" hidden="1" outlineLevel="3">
      <c r="A2543" s="438"/>
      <c r="B2543" s="490"/>
      <c r="C2543" s="455"/>
      <c r="D2543" s="455"/>
      <c r="E2543" s="385"/>
      <c r="F2543" s="385"/>
      <c r="G2543" s="385"/>
      <c r="H2543" s="401" t="s">
        <v>3621</v>
      </c>
      <c r="I2543" s="456"/>
      <c r="J2543" s="489"/>
      <c r="K2543" s="450"/>
      <c r="L2543" s="450"/>
      <c r="M2543" s="490" t="s">
        <v>813</v>
      </c>
      <c r="N2543" s="490">
        <v>1</v>
      </c>
    </row>
    <row r="2544" spans="1:14" hidden="1" outlineLevel="3">
      <c r="A2544" s="438"/>
      <c r="B2544" s="490"/>
      <c r="C2544" s="455"/>
      <c r="D2544" s="455"/>
      <c r="E2544" s="385"/>
      <c r="F2544" s="385"/>
      <c r="G2544" s="385"/>
      <c r="H2544" s="401" t="s">
        <v>3622</v>
      </c>
      <c r="I2544" s="456"/>
      <c r="J2544" s="489"/>
      <c r="K2544" s="450"/>
      <c r="L2544" s="450"/>
      <c r="M2544" s="490" t="s">
        <v>813</v>
      </c>
      <c r="N2544" s="490">
        <v>1</v>
      </c>
    </row>
    <row r="2545" spans="1:14" s="384" customFormat="1" ht="60.75" hidden="1" outlineLevel="2" collapsed="1">
      <c r="A2545" s="454" t="s">
        <v>1437</v>
      </c>
      <c r="B2545" s="490"/>
      <c r="C2545" s="398" t="s">
        <v>47</v>
      </c>
      <c r="D2545" s="455" t="s">
        <v>1830</v>
      </c>
      <c r="E2545" s="385" t="s">
        <v>3193</v>
      </c>
      <c r="F2545" s="385" t="s">
        <v>303</v>
      </c>
      <c r="G2545" s="385"/>
      <c r="H2545" s="401" t="s">
        <v>3194</v>
      </c>
      <c r="I2545" s="385" t="str">
        <f>CONCATENATE(I2546," ","(",H2546,")","-",N2546," ",M2546," ",I2547," ","(",H2547,")","-",N2547," ",M2547," ",I2548," ","(",H2548,")","-",N2548," ",M2548," ",I2549," ","(",H2549,")","-",N2549," ",M2549," ")</f>
        <v xml:space="preserve"> (насос водяной - 1шт)-1 шт  (вал карданный - 1шт)-1 шт  (распределитель зажигания - 1шт)-1 шт  (подшипник ступичный - 4шт)-4 шт </v>
      </c>
      <c r="J2545" s="489" t="s">
        <v>365</v>
      </c>
      <c r="K2545" s="450">
        <v>44440</v>
      </c>
      <c r="L2545" s="450">
        <v>44469</v>
      </c>
      <c r="M2545" s="540"/>
      <c r="N2545" s="540"/>
    </row>
    <row r="2546" spans="1:14" hidden="1" outlineLevel="3">
      <c r="A2546" s="438"/>
      <c r="B2546" s="490"/>
      <c r="C2546" s="455"/>
      <c r="D2546" s="455"/>
      <c r="E2546" s="385"/>
      <c r="F2546" s="385"/>
      <c r="G2546" s="385"/>
      <c r="H2546" s="401" t="s">
        <v>3195</v>
      </c>
      <c r="I2546" s="456"/>
      <c r="J2546" s="489"/>
      <c r="K2546" s="450"/>
      <c r="L2546" s="450"/>
      <c r="M2546" s="490" t="s">
        <v>813</v>
      </c>
      <c r="N2546" s="490">
        <v>1</v>
      </c>
    </row>
    <row r="2547" spans="1:14" hidden="1" outlineLevel="3">
      <c r="A2547" s="438"/>
      <c r="B2547" s="490"/>
      <c r="C2547" s="455"/>
      <c r="D2547" s="455"/>
      <c r="E2547" s="385"/>
      <c r="F2547" s="385"/>
      <c r="G2547" s="385"/>
      <c r="H2547" s="401" t="s">
        <v>3623</v>
      </c>
      <c r="I2547" s="461"/>
      <c r="J2547" s="489"/>
      <c r="K2547" s="450"/>
      <c r="L2547" s="450"/>
      <c r="M2547" s="490" t="s">
        <v>813</v>
      </c>
      <c r="N2547" s="490">
        <v>1</v>
      </c>
    </row>
    <row r="2548" spans="1:14" hidden="1" outlineLevel="3">
      <c r="A2548" s="438"/>
      <c r="B2548" s="490"/>
      <c r="C2548" s="455"/>
      <c r="D2548" s="455"/>
      <c r="E2548" s="385"/>
      <c r="F2548" s="385"/>
      <c r="G2548" s="385"/>
      <c r="H2548" s="401" t="s">
        <v>3624</v>
      </c>
      <c r="I2548" s="456"/>
      <c r="J2548" s="489"/>
      <c r="K2548" s="450"/>
      <c r="L2548" s="450"/>
      <c r="M2548" s="490" t="s">
        <v>813</v>
      </c>
      <c r="N2548" s="490">
        <v>1</v>
      </c>
    </row>
    <row r="2549" spans="1:14" hidden="1" outlineLevel="3">
      <c r="A2549" s="438"/>
      <c r="B2549" s="490"/>
      <c r="C2549" s="455"/>
      <c r="D2549" s="455"/>
      <c r="E2549" s="385"/>
      <c r="F2549" s="385"/>
      <c r="G2549" s="385"/>
      <c r="H2549" s="401" t="s">
        <v>3625</v>
      </c>
      <c r="I2549" s="456"/>
      <c r="J2549" s="489"/>
      <c r="K2549" s="450"/>
      <c r="L2549" s="450"/>
      <c r="M2549" s="490" t="s">
        <v>813</v>
      </c>
      <c r="N2549" s="490">
        <v>4</v>
      </c>
    </row>
    <row r="2550" spans="1:14" s="384" customFormat="1" ht="40.5" hidden="1" outlineLevel="2" collapsed="1">
      <c r="A2550" s="489" t="s">
        <v>1438</v>
      </c>
      <c r="B2550" s="490"/>
      <c r="C2550" s="398" t="s">
        <v>47</v>
      </c>
      <c r="D2550" s="455" t="s">
        <v>1830</v>
      </c>
      <c r="E2550" s="385" t="s">
        <v>3196</v>
      </c>
      <c r="F2550" s="385" t="s">
        <v>303</v>
      </c>
      <c r="G2550" s="385"/>
      <c r="H2550" s="401" t="s">
        <v>3197</v>
      </c>
      <c r="I2550" s="385" t="str">
        <f>CONCATENATE(I2551," ","(",H2551,")","-",N2551," ",M2551," ",I2552," ","(",H2552,")","-",N2552," ",M2552," ")</f>
        <v xml:space="preserve"> (рычаг регулировочный)-2 шт  (энергоаккумулятор)-4 шт </v>
      </c>
      <c r="J2550" s="489" t="s">
        <v>365</v>
      </c>
      <c r="K2550" s="450">
        <v>44440</v>
      </c>
      <c r="L2550" s="450">
        <v>44469</v>
      </c>
      <c r="M2550" s="540"/>
      <c r="N2550" s="540"/>
    </row>
    <row r="2551" spans="1:14" hidden="1" outlineLevel="3">
      <c r="A2551" s="438"/>
      <c r="B2551" s="490"/>
      <c r="C2551" s="455"/>
      <c r="D2551" s="455"/>
      <c r="E2551" s="385"/>
      <c r="F2551" s="385"/>
      <c r="G2551" s="385"/>
      <c r="H2551" s="401" t="s">
        <v>3626</v>
      </c>
      <c r="I2551" s="456"/>
      <c r="J2551" s="489"/>
      <c r="K2551" s="450"/>
      <c r="L2551" s="450"/>
      <c r="M2551" s="490" t="s">
        <v>813</v>
      </c>
      <c r="N2551" s="490">
        <v>2</v>
      </c>
    </row>
    <row r="2552" spans="1:14" hidden="1" outlineLevel="3">
      <c r="A2552" s="438"/>
      <c r="B2552" s="490"/>
      <c r="C2552" s="455"/>
      <c r="D2552" s="455"/>
      <c r="E2552" s="385"/>
      <c r="F2552" s="385"/>
      <c r="G2552" s="385"/>
      <c r="H2552" s="401" t="s">
        <v>3627</v>
      </c>
      <c r="I2552" s="456"/>
      <c r="J2552" s="489"/>
      <c r="K2552" s="450"/>
      <c r="L2552" s="450"/>
      <c r="M2552" s="490" t="s">
        <v>813</v>
      </c>
      <c r="N2552" s="490">
        <v>4</v>
      </c>
    </row>
    <row r="2553" spans="1:14" s="384" customFormat="1" ht="121.5" hidden="1" outlineLevel="2" collapsed="1">
      <c r="A2553" s="489" t="s">
        <v>1439</v>
      </c>
      <c r="B2553" s="490"/>
      <c r="C2553" s="398" t="s">
        <v>47</v>
      </c>
      <c r="D2553" s="455" t="s">
        <v>1830</v>
      </c>
      <c r="E2553" s="385" t="s">
        <v>3198</v>
      </c>
      <c r="F2553" s="385" t="s">
        <v>303</v>
      </c>
      <c r="G2553" s="385"/>
      <c r="H2553" s="401" t="s">
        <v>3199</v>
      </c>
      <c r="I2553" s="385" t="str">
        <f>CONCATENATE(I2554," ","(",H2554,")","-",N2554," ",M2554," ",I2555," ","(",H2555,")","-",N2555," ",M2555," ",I2556," ","(",H2556,")","-",N2556," ",M2556," ",I2557," ","(",H2557,")","-",N2557," ",M2557," ",I2558," ","(",H2558,")","-",N2558," ",M2558," ",I2559," ","(",H2559,")","-",N2559," ",M2559," ",I2560," ","(",H2560,")","-",N2560," ",M2560," ")</f>
        <v xml:space="preserve"> (Турбокомпрессор)-1 шт  (Фильтр напорный-1шт, Фильтр всасывающий-1шт)-2 шт  (Подшипник ступицы)-4 шт  (Насос водяной-1шт, Насос основной-1шт)-2 шт  (Резец-20шт, Забурник-1шт)-21 шт  (Домкраты передних опор-2шт, Домкраты задних опор-2шт)-4 шт  (Шнек телескопический)-1 шт </v>
      </c>
      <c r="J2553" s="489" t="s">
        <v>365</v>
      </c>
      <c r="K2553" s="450">
        <v>44440</v>
      </c>
      <c r="L2553" s="450">
        <v>44469</v>
      </c>
      <c r="M2553" s="540"/>
      <c r="N2553" s="540"/>
    </row>
    <row r="2554" spans="1:14" hidden="1" outlineLevel="3">
      <c r="A2554" s="438"/>
      <c r="B2554" s="490"/>
      <c r="C2554" s="455"/>
      <c r="D2554" s="455"/>
      <c r="E2554" s="385"/>
      <c r="F2554" s="385"/>
      <c r="G2554" s="385"/>
      <c r="H2554" s="401" t="s">
        <v>3628</v>
      </c>
      <c r="I2554" s="456"/>
      <c r="J2554" s="489"/>
      <c r="K2554" s="450"/>
      <c r="L2554" s="450"/>
      <c r="M2554" s="490" t="s">
        <v>813</v>
      </c>
      <c r="N2554" s="490">
        <v>1</v>
      </c>
    </row>
    <row r="2555" spans="1:14" ht="40.5" hidden="1" outlineLevel="3">
      <c r="A2555" s="438"/>
      <c r="B2555" s="490"/>
      <c r="C2555" s="455"/>
      <c r="D2555" s="455"/>
      <c r="E2555" s="385"/>
      <c r="F2555" s="385"/>
      <c r="G2555" s="385"/>
      <c r="H2555" s="401" t="s">
        <v>3200</v>
      </c>
      <c r="I2555" s="456"/>
      <c r="J2555" s="489"/>
      <c r="K2555" s="450"/>
      <c r="L2555" s="450"/>
      <c r="M2555" s="490" t="s">
        <v>813</v>
      </c>
      <c r="N2555" s="490">
        <v>2</v>
      </c>
    </row>
    <row r="2556" spans="1:14" hidden="1" outlineLevel="3">
      <c r="A2556" s="438"/>
      <c r="B2556" s="490"/>
      <c r="C2556" s="455"/>
      <c r="D2556" s="455"/>
      <c r="E2556" s="385"/>
      <c r="F2556" s="385"/>
      <c r="G2556" s="385"/>
      <c r="H2556" s="401" t="s">
        <v>3629</v>
      </c>
      <c r="I2556" s="456"/>
      <c r="J2556" s="489"/>
      <c r="K2556" s="450"/>
      <c r="L2556" s="450"/>
      <c r="M2556" s="490" t="s">
        <v>813</v>
      </c>
      <c r="N2556" s="490">
        <v>4</v>
      </c>
    </row>
    <row r="2557" spans="1:14" hidden="1" outlineLevel="3">
      <c r="A2557" s="438"/>
      <c r="B2557" s="490"/>
      <c r="C2557" s="455"/>
      <c r="D2557" s="455"/>
      <c r="E2557" s="385"/>
      <c r="F2557" s="385"/>
      <c r="G2557" s="385"/>
      <c r="H2557" s="401" t="s">
        <v>3201</v>
      </c>
      <c r="I2557" s="456"/>
      <c r="J2557" s="489"/>
      <c r="K2557" s="450"/>
      <c r="L2557" s="450"/>
      <c r="M2557" s="490" t="s">
        <v>813</v>
      </c>
      <c r="N2557" s="490">
        <v>2</v>
      </c>
    </row>
    <row r="2558" spans="1:14" hidden="1" outlineLevel="3">
      <c r="A2558" s="438"/>
      <c r="B2558" s="490"/>
      <c r="C2558" s="455"/>
      <c r="D2558" s="455"/>
      <c r="E2558" s="385"/>
      <c r="F2558" s="385"/>
      <c r="G2558" s="385"/>
      <c r="H2558" s="401" t="s">
        <v>3202</v>
      </c>
      <c r="I2558" s="456"/>
      <c r="J2558" s="489"/>
      <c r="K2558" s="450"/>
      <c r="L2558" s="450"/>
      <c r="M2558" s="490" t="s">
        <v>813</v>
      </c>
      <c r="N2558" s="490">
        <v>21</v>
      </c>
    </row>
    <row r="2559" spans="1:14" ht="40.5" hidden="1" outlineLevel="3">
      <c r="A2559" s="438"/>
      <c r="B2559" s="490"/>
      <c r="C2559" s="455"/>
      <c r="D2559" s="455"/>
      <c r="E2559" s="385"/>
      <c r="F2559" s="385"/>
      <c r="G2559" s="385"/>
      <c r="H2559" s="401" t="s">
        <v>3203</v>
      </c>
      <c r="I2559" s="456"/>
      <c r="J2559" s="489"/>
      <c r="K2559" s="450"/>
      <c r="L2559" s="450"/>
      <c r="M2559" s="490" t="s">
        <v>813</v>
      </c>
      <c r="N2559" s="490">
        <v>4</v>
      </c>
    </row>
    <row r="2560" spans="1:14" hidden="1" outlineLevel="3">
      <c r="A2560" s="438"/>
      <c r="B2560" s="490"/>
      <c r="C2560" s="455"/>
      <c r="D2560" s="455"/>
      <c r="E2560" s="385"/>
      <c r="F2560" s="385"/>
      <c r="G2560" s="385"/>
      <c r="H2560" s="401" t="s">
        <v>3630</v>
      </c>
      <c r="I2560" s="456"/>
      <c r="J2560" s="489"/>
      <c r="K2560" s="450"/>
      <c r="L2560" s="450"/>
      <c r="M2560" s="490" t="s">
        <v>813</v>
      </c>
      <c r="N2560" s="490">
        <v>1</v>
      </c>
    </row>
    <row r="2561" spans="1:14" s="384" customFormat="1" ht="81" hidden="1" outlineLevel="2" collapsed="1">
      <c r="A2561" s="412" t="s">
        <v>1440</v>
      </c>
      <c r="B2561" s="490"/>
      <c r="C2561" s="398" t="s">
        <v>47</v>
      </c>
      <c r="D2561" s="455" t="s">
        <v>1830</v>
      </c>
      <c r="E2561" s="385" t="s">
        <v>3204</v>
      </c>
      <c r="F2561" s="385" t="s">
        <v>303</v>
      </c>
      <c r="G2561" s="385"/>
      <c r="H2561" s="401" t="s">
        <v>3205</v>
      </c>
      <c r="I2561" s="385" t="str">
        <f>CONCATENATE(I2562," ","(",H2562,")","-",N2562," ",M2562," ",I2563," ","(",H2563,")","-",N2563," ",M2563," ",I2564," ","(",H2564,")","-",N2564," ",M2564)</f>
        <v xml:space="preserve"> (балансир задний левый-1шт, балансир задний правый-1шт)-2 шт  (Втулка балансира наружная-12шт, Втулка балансира внутренняя-12шт)-24 шт  (Вахтовый салон НЕФАЗ)-1 шт</v>
      </c>
      <c r="J2561" s="489" t="s">
        <v>365</v>
      </c>
      <c r="K2561" s="450">
        <v>44470</v>
      </c>
      <c r="L2561" s="450">
        <v>44500</v>
      </c>
      <c r="M2561" s="540"/>
      <c r="N2561" s="540"/>
    </row>
    <row r="2562" spans="1:14" ht="40.5" hidden="1" outlineLevel="3">
      <c r="A2562" s="412"/>
      <c r="B2562" s="490"/>
      <c r="C2562" s="455"/>
      <c r="D2562" s="455"/>
      <c r="E2562" s="385"/>
      <c r="F2562" s="385"/>
      <c r="G2562" s="385"/>
      <c r="H2562" s="401" t="s">
        <v>3206</v>
      </c>
      <c r="I2562" s="456"/>
      <c r="J2562" s="489"/>
      <c r="K2562" s="450"/>
      <c r="L2562" s="450"/>
      <c r="M2562" s="490" t="s">
        <v>813</v>
      </c>
      <c r="N2562" s="490">
        <v>2</v>
      </c>
    </row>
    <row r="2563" spans="1:14" ht="40.5" hidden="1" outlineLevel="3">
      <c r="A2563" s="412"/>
      <c r="B2563" s="490"/>
      <c r="C2563" s="455"/>
      <c r="D2563" s="455"/>
      <c r="E2563" s="385"/>
      <c r="F2563" s="385"/>
      <c r="G2563" s="385"/>
      <c r="H2563" s="401" t="s">
        <v>3207</v>
      </c>
      <c r="I2563" s="456"/>
      <c r="J2563" s="489"/>
      <c r="K2563" s="450"/>
      <c r="L2563" s="450"/>
      <c r="M2563" s="490" t="s">
        <v>813</v>
      </c>
      <c r="N2563" s="490">
        <v>24</v>
      </c>
    </row>
    <row r="2564" spans="1:14" hidden="1" outlineLevel="3">
      <c r="A2564" s="412"/>
      <c r="B2564" s="490"/>
      <c r="C2564" s="455"/>
      <c r="D2564" s="455"/>
      <c r="E2564" s="385"/>
      <c r="F2564" s="385"/>
      <c r="G2564" s="385"/>
      <c r="H2564" s="401" t="s">
        <v>3631</v>
      </c>
      <c r="I2564" s="456"/>
      <c r="J2564" s="489"/>
      <c r="K2564" s="450"/>
      <c r="L2564" s="450"/>
      <c r="M2564" s="490" t="s">
        <v>813</v>
      </c>
      <c r="N2564" s="490">
        <v>1</v>
      </c>
    </row>
    <row r="2565" spans="1:14" s="384" customFormat="1" ht="40.5" hidden="1" outlineLevel="2" collapsed="1">
      <c r="A2565" s="412" t="s">
        <v>1441</v>
      </c>
      <c r="B2565" s="490"/>
      <c r="C2565" s="398" t="s">
        <v>47</v>
      </c>
      <c r="D2565" s="455" t="s">
        <v>1830</v>
      </c>
      <c r="E2565" s="385" t="s">
        <v>3210</v>
      </c>
      <c r="F2565" s="385" t="s">
        <v>303</v>
      </c>
      <c r="G2565" s="385"/>
      <c r="H2565" s="401" t="s">
        <v>3211</v>
      </c>
      <c r="I2565" s="385" t="str">
        <f>CONCATENATE(I2566," ","(",H2566,")","-",N2566," ",M2566," ",I2567," ","(",H2567,")","-",N2567," ",M2567)</f>
        <v xml:space="preserve"> (Генератор)-1 шт  (Стартер)-1 шт</v>
      </c>
      <c r="J2565" s="489" t="s">
        <v>365</v>
      </c>
      <c r="K2565" s="450">
        <v>44470</v>
      </c>
      <c r="L2565" s="450">
        <v>44500</v>
      </c>
      <c r="M2565" s="540"/>
      <c r="N2565" s="540"/>
    </row>
    <row r="2566" spans="1:14" hidden="1" outlineLevel="3">
      <c r="A2566" s="412"/>
      <c r="B2566" s="490"/>
      <c r="C2566" s="455"/>
      <c r="D2566" s="455"/>
      <c r="E2566" s="385"/>
      <c r="F2566" s="385"/>
      <c r="G2566" s="385"/>
      <c r="H2566" s="401" t="s">
        <v>3614</v>
      </c>
      <c r="I2566" s="456"/>
      <c r="J2566" s="489"/>
      <c r="K2566" s="450"/>
      <c r="L2566" s="450"/>
      <c r="M2566" s="490" t="s">
        <v>813</v>
      </c>
      <c r="N2566" s="490">
        <v>1</v>
      </c>
    </row>
    <row r="2567" spans="1:14" hidden="1" outlineLevel="3">
      <c r="A2567" s="412"/>
      <c r="B2567" s="490"/>
      <c r="C2567" s="455"/>
      <c r="D2567" s="455"/>
      <c r="E2567" s="385"/>
      <c r="F2567" s="385"/>
      <c r="G2567" s="385"/>
      <c r="H2567" s="401" t="s">
        <v>3632</v>
      </c>
      <c r="I2567" s="456"/>
      <c r="J2567" s="489"/>
      <c r="K2567" s="450"/>
      <c r="L2567" s="450"/>
      <c r="M2567" s="490" t="s">
        <v>813</v>
      </c>
      <c r="N2567" s="490">
        <v>1</v>
      </c>
    </row>
    <row r="2568" spans="1:14" s="384" customFormat="1" ht="60.75" hidden="1" outlineLevel="2" collapsed="1">
      <c r="A2568" s="412" t="s">
        <v>1442</v>
      </c>
      <c r="B2568" s="490"/>
      <c r="C2568" s="398" t="s">
        <v>47</v>
      </c>
      <c r="D2568" s="455" t="s">
        <v>1830</v>
      </c>
      <c r="E2568" s="385" t="s">
        <v>3212</v>
      </c>
      <c r="F2568" s="385" t="s">
        <v>303</v>
      </c>
      <c r="G2568" s="385"/>
      <c r="H2568" s="401" t="s">
        <v>3213</v>
      </c>
      <c r="I2568" s="385" t="str">
        <f>CONCATENATE(I2569," ","(",H2569,")","-",N2569," ",M2569," ",I2570," ","(",H2570,")","-",N2570," ",M2570," ",I2571," ","(",H2571,")","-",N2571," ",M2571," ",I2572," ","(",H2572,")","-",N2572," ",M2572," ",I2573," ","(",H2573,")","-",N2573," ",M2573)</f>
        <v xml:space="preserve"> (Коробка раздаточная)-1 шт  (Генератор 90А УАЗ)-1 шт  (Стартер УАЗ)-1 шт  (Амортизатор УАЗ)-4 шт  (Лист рессоры)-8 шт</v>
      </c>
      <c r="J2568" s="489" t="s">
        <v>365</v>
      </c>
      <c r="K2568" s="450">
        <v>44470</v>
      </c>
      <c r="L2568" s="450">
        <v>44500</v>
      </c>
      <c r="M2568" s="540"/>
      <c r="N2568" s="540"/>
    </row>
    <row r="2569" spans="1:14" hidden="1" outlineLevel="3">
      <c r="A2569" s="438"/>
      <c r="B2569" s="490"/>
      <c r="C2569" s="455"/>
      <c r="D2569" s="455"/>
      <c r="E2569" s="385"/>
      <c r="F2569" s="385"/>
      <c r="G2569" s="385"/>
      <c r="H2569" s="401" t="s">
        <v>3633</v>
      </c>
      <c r="I2569" s="456"/>
      <c r="J2569" s="489"/>
      <c r="K2569" s="450"/>
      <c r="L2569" s="450"/>
      <c r="M2569" s="490" t="s">
        <v>813</v>
      </c>
      <c r="N2569" s="490">
        <v>1</v>
      </c>
    </row>
    <row r="2570" spans="1:14" hidden="1" outlineLevel="3">
      <c r="A2570" s="438"/>
      <c r="B2570" s="490"/>
      <c r="C2570" s="455"/>
      <c r="D2570" s="455"/>
      <c r="E2570" s="385"/>
      <c r="F2570" s="385"/>
      <c r="G2570" s="385"/>
      <c r="H2570" s="401" t="s">
        <v>3634</v>
      </c>
      <c r="I2570" s="456"/>
      <c r="J2570" s="489"/>
      <c r="K2570" s="450"/>
      <c r="L2570" s="450"/>
      <c r="M2570" s="490" t="s">
        <v>813</v>
      </c>
      <c r="N2570" s="490">
        <v>1</v>
      </c>
    </row>
    <row r="2571" spans="1:14" hidden="1" outlineLevel="3">
      <c r="A2571" s="438"/>
      <c r="B2571" s="490"/>
      <c r="C2571" s="455"/>
      <c r="D2571" s="455"/>
      <c r="E2571" s="385"/>
      <c r="F2571" s="385"/>
      <c r="G2571" s="385"/>
      <c r="H2571" s="401" t="s">
        <v>3635</v>
      </c>
      <c r="I2571" s="456"/>
      <c r="J2571" s="489"/>
      <c r="K2571" s="450"/>
      <c r="L2571" s="450"/>
      <c r="M2571" s="490" t="s">
        <v>813</v>
      </c>
      <c r="N2571" s="490">
        <v>1</v>
      </c>
    </row>
    <row r="2572" spans="1:14" hidden="1" outlineLevel="3">
      <c r="A2572" s="438"/>
      <c r="B2572" s="490"/>
      <c r="C2572" s="455"/>
      <c r="D2572" s="455"/>
      <c r="E2572" s="385"/>
      <c r="F2572" s="385"/>
      <c r="G2572" s="385"/>
      <c r="H2572" s="401" t="s">
        <v>3636</v>
      </c>
      <c r="I2572" s="456"/>
      <c r="J2572" s="489"/>
      <c r="K2572" s="450"/>
      <c r="L2572" s="450"/>
      <c r="M2572" s="490" t="s">
        <v>813</v>
      </c>
      <c r="N2572" s="490">
        <v>4</v>
      </c>
    </row>
    <row r="2573" spans="1:14" hidden="1" outlineLevel="3">
      <c r="A2573" s="438"/>
      <c r="B2573" s="490"/>
      <c r="C2573" s="455"/>
      <c r="D2573" s="455"/>
      <c r="E2573" s="385"/>
      <c r="F2573" s="385"/>
      <c r="G2573" s="385"/>
      <c r="H2573" s="401" t="s">
        <v>3637</v>
      </c>
      <c r="I2573" s="456"/>
      <c r="J2573" s="489"/>
      <c r="K2573" s="450"/>
      <c r="L2573" s="450"/>
      <c r="M2573" s="490" t="s">
        <v>813</v>
      </c>
      <c r="N2573" s="490">
        <v>8</v>
      </c>
    </row>
    <row r="2574" spans="1:14" s="384" customFormat="1" ht="81" hidden="1" outlineLevel="2" collapsed="1">
      <c r="A2574" s="489" t="s">
        <v>1443</v>
      </c>
      <c r="B2574" s="490"/>
      <c r="C2574" s="398" t="s">
        <v>47</v>
      </c>
      <c r="D2574" s="455" t="s">
        <v>1830</v>
      </c>
      <c r="E2574" s="385" t="s">
        <v>3215</v>
      </c>
      <c r="F2574" s="385" t="s">
        <v>303</v>
      </c>
      <c r="G2574" s="385"/>
      <c r="H2574" s="401" t="s">
        <v>3216</v>
      </c>
      <c r="I2574" s="385" t="str">
        <f>CONCATENATE(I2575," ","(",H2575,")","-",N2575," ",M2575," ",I2576," ","(",H2576,")","-",N2576," ",M2576," ",I2577," ","(",H2577,")","-",N2577," ",M2577," ",I2578," ","(",H2578,")","-",N2578," ",M2578," ")</f>
        <v xml:space="preserve"> (Гидроцилиндр прижима салазок-)-4 шт  (Гидроцилиндр ЦГ-11.16.80.56.700.1100)-1 шт  (Гидроцилиндр управление аутригерами)-2 шт  (Гидроцилиндр МТЗ подъема отвала)-1 шт </v>
      </c>
      <c r="J2574" s="489" t="s">
        <v>365</v>
      </c>
      <c r="K2574" s="450">
        <v>44470</v>
      </c>
      <c r="L2574" s="450">
        <v>44500</v>
      </c>
      <c r="M2574" s="540"/>
      <c r="N2574" s="540"/>
    </row>
    <row r="2575" spans="1:14" hidden="1" outlineLevel="3">
      <c r="A2575" s="438"/>
      <c r="B2575" s="490"/>
      <c r="C2575" s="455"/>
      <c r="D2575" s="455"/>
      <c r="E2575" s="385"/>
      <c r="F2575" s="385"/>
      <c r="G2575" s="385"/>
      <c r="H2575" s="401" t="s">
        <v>3638</v>
      </c>
      <c r="I2575" s="456"/>
      <c r="J2575" s="489"/>
      <c r="K2575" s="450"/>
      <c r="L2575" s="450"/>
      <c r="M2575" s="490" t="s">
        <v>813</v>
      </c>
      <c r="N2575" s="490">
        <v>4</v>
      </c>
    </row>
    <row r="2576" spans="1:14" hidden="1" outlineLevel="3">
      <c r="A2576" s="438"/>
      <c r="B2576" s="490"/>
      <c r="C2576" s="455"/>
      <c r="D2576" s="455"/>
      <c r="E2576" s="385"/>
      <c r="F2576" s="385"/>
      <c r="G2576" s="385"/>
      <c r="H2576" s="385" t="s">
        <v>3639</v>
      </c>
      <c r="I2576" s="456"/>
      <c r="J2576" s="489"/>
      <c r="K2576" s="450"/>
      <c r="L2576" s="450"/>
      <c r="M2576" s="490" t="s">
        <v>813</v>
      </c>
      <c r="N2576" s="490">
        <v>1</v>
      </c>
    </row>
    <row r="2577" spans="1:14" hidden="1" outlineLevel="3">
      <c r="A2577" s="438"/>
      <c r="B2577" s="490"/>
      <c r="C2577" s="455"/>
      <c r="D2577" s="455"/>
      <c r="E2577" s="385"/>
      <c r="F2577" s="385"/>
      <c r="G2577" s="385"/>
      <c r="H2577" s="385" t="s">
        <v>3640</v>
      </c>
      <c r="I2577" s="456"/>
      <c r="J2577" s="489"/>
      <c r="K2577" s="450"/>
      <c r="L2577" s="450"/>
      <c r="M2577" s="490" t="s">
        <v>813</v>
      </c>
      <c r="N2577" s="490">
        <v>2</v>
      </c>
    </row>
    <row r="2578" spans="1:14" hidden="1" outlineLevel="3">
      <c r="A2578" s="438"/>
      <c r="B2578" s="490"/>
      <c r="C2578" s="455"/>
      <c r="D2578" s="455"/>
      <c r="E2578" s="385"/>
      <c r="F2578" s="385"/>
      <c r="G2578" s="385"/>
      <c r="H2578" s="385" t="s">
        <v>3641</v>
      </c>
      <c r="I2578" s="456"/>
      <c r="J2578" s="489"/>
      <c r="K2578" s="450"/>
      <c r="L2578" s="450"/>
      <c r="M2578" s="490" t="s">
        <v>813</v>
      </c>
      <c r="N2578" s="490">
        <v>1</v>
      </c>
    </row>
    <row r="2579" spans="1:14" s="384" customFormat="1" ht="71.25" hidden="1" customHeight="1" outlineLevel="2" collapsed="1">
      <c r="A2579" s="412" t="s">
        <v>1444</v>
      </c>
      <c r="B2579" s="490"/>
      <c r="C2579" s="398" t="s">
        <v>47</v>
      </c>
      <c r="D2579" s="455" t="s">
        <v>1830</v>
      </c>
      <c r="E2579" s="385" t="s">
        <v>3208</v>
      </c>
      <c r="F2579" s="385" t="s">
        <v>303</v>
      </c>
      <c r="G2579" s="385"/>
      <c r="H2579" s="401" t="s">
        <v>3209</v>
      </c>
      <c r="I2579" s="385" t="str">
        <f>CONCATENATE(I2580," ","(",H2580,")","-",N2580," ",M2580," ",I2581," ","(",H2581,")","-",N2581," ",M2581," ")</f>
        <v xml:space="preserve"> (Двигатель)-1 шт  (коробка пеередач)-1 шт </v>
      </c>
      <c r="J2579" s="489" t="s">
        <v>365</v>
      </c>
      <c r="K2579" s="450">
        <v>44470</v>
      </c>
      <c r="L2579" s="450">
        <v>44500</v>
      </c>
      <c r="M2579" s="540"/>
      <c r="N2579" s="540"/>
    </row>
    <row r="2580" spans="1:14" hidden="1" outlineLevel="3">
      <c r="A2580" s="412"/>
      <c r="B2580" s="490"/>
      <c r="C2580" s="490"/>
      <c r="D2580" s="455"/>
      <c r="E2580" s="385"/>
      <c r="F2580" s="385"/>
      <c r="G2580" s="385"/>
      <c r="H2580" s="401" t="s">
        <v>3642</v>
      </c>
      <c r="I2580" s="456"/>
      <c r="J2580" s="489"/>
      <c r="K2580" s="450"/>
      <c r="L2580" s="450"/>
      <c r="M2580" s="490" t="s">
        <v>813</v>
      </c>
      <c r="N2580" s="490">
        <v>1</v>
      </c>
    </row>
    <row r="2581" spans="1:14" hidden="1" outlineLevel="3">
      <c r="A2581" s="412"/>
      <c r="B2581" s="490"/>
      <c r="C2581" s="490"/>
      <c r="D2581" s="455"/>
      <c r="E2581" s="385"/>
      <c r="F2581" s="385"/>
      <c r="G2581" s="385"/>
      <c r="H2581" s="401" t="s">
        <v>3643</v>
      </c>
      <c r="I2581" s="456"/>
      <c r="J2581" s="489"/>
      <c r="K2581" s="450"/>
      <c r="L2581" s="450"/>
      <c r="M2581" s="490" t="s">
        <v>813</v>
      </c>
      <c r="N2581" s="490">
        <v>1</v>
      </c>
    </row>
    <row r="2582" spans="1:14" s="384" customFormat="1" ht="40.5" hidden="1" outlineLevel="2" collapsed="1">
      <c r="A2582" s="489" t="s">
        <v>1657</v>
      </c>
      <c r="B2582" s="490"/>
      <c r="C2582" s="398" t="s">
        <v>1989</v>
      </c>
      <c r="D2582" s="455" t="s">
        <v>1830</v>
      </c>
      <c r="E2582" s="490" t="s">
        <v>3185</v>
      </c>
      <c r="F2582" s="385" t="s">
        <v>303</v>
      </c>
      <c r="G2582" s="385"/>
      <c r="H2582" s="401" t="s">
        <v>3186</v>
      </c>
      <c r="I2582" s="385" t="str">
        <f>CONCATENATE(I2583," ","(",H2583,")","-",N2583," ",M2583," ",I2584," ","(",H2584,")","-",N2584," ",M2584," ",I2585," ","(",H2585,")","-",N2585," ",M2585," ",I2586," ","(",H2586,")","-",N2586," ",M2586," ")</f>
        <v xml:space="preserve"> (насос гидроусилителя)-1 шт  (редуктор)-1 шт  (усилител)-1 шт  (вал карданный)-1 шт </v>
      </c>
      <c r="J2582" s="489" t="s">
        <v>365</v>
      </c>
      <c r="K2582" s="450">
        <v>44501</v>
      </c>
      <c r="L2582" s="450">
        <v>44530</v>
      </c>
      <c r="M2582" s="540"/>
      <c r="N2582" s="540"/>
    </row>
    <row r="2583" spans="1:14" hidden="1" outlineLevel="3">
      <c r="A2583" s="412"/>
      <c r="B2583" s="490"/>
      <c r="C2583" s="455"/>
      <c r="D2583" s="455"/>
      <c r="E2583" s="385"/>
      <c r="F2583" s="385"/>
      <c r="G2583" s="385"/>
      <c r="H2583" s="401" t="s">
        <v>3617</v>
      </c>
      <c r="I2583" s="456"/>
      <c r="J2583" s="489"/>
      <c r="K2583" s="450"/>
      <c r="L2583" s="450"/>
      <c r="M2583" s="490" t="s">
        <v>813</v>
      </c>
      <c r="N2583" s="490">
        <v>1</v>
      </c>
    </row>
    <row r="2584" spans="1:14" hidden="1" outlineLevel="3">
      <c r="A2584" s="412"/>
      <c r="B2584" s="490"/>
      <c r="C2584" s="455"/>
      <c r="D2584" s="455"/>
      <c r="E2584" s="385"/>
      <c r="F2584" s="385"/>
      <c r="G2584" s="385"/>
      <c r="H2584" s="401" t="s">
        <v>3644</v>
      </c>
      <c r="I2584" s="456"/>
      <c r="J2584" s="489"/>
      <c r="K2584" s="450"/>
      <c r="L2584" s="450"/>
      <c r="M2584" s="490" t="s">
        <v>813</v>
      </c>
      <c r="N2584" s="490">
        <v>1</v>
      </c>
    </row>
    <row r="2585" spans="1:14" hidden="1" outlineLevel="3">
      <c r="A2585" s="412"/>
      <c r="B2585" s="490"/>
      <c r="C2585" s="455"/>
      <c r="D2585" s="455"/>
      <c r="E2585" s="385"/>
      <c r="F2585" s="385"/>
      <c r="G2585" s="385"/>
      <c r="H2585" s="401" t="s">
        <v>3645</v>
      </c>
      <c r="I2585" s="456"/>
      <c r="J2585" s="489"/>
      <c r="K2585" s="450"/>
      <c r="L2585" s="450"/>
      <c r="M2585" s="490" t="s">
        <v>813</v>
      </c>
      <c r="N2585" s="490">
        <v>1</v>
      </c>
    </row>
    <row r="2586" spans="1:14" hidden="1" outlineLevel="3">
      <c r="A2586" s="412"/>
      <c r="B2586" s="490"/>
      <c r="C2586" s="455"/>
      <c r="D2586" s="455"/>
      <c r="E2586" s="385"/>
      <c r="F2586" s="385"/>
      <c r="G2586" s="385"/>
      <c r="H2586" s="401" t="s">
        <v>3646</v>
      </c>
      <c r="I2586" s="456"/>
      <c r="J2586" s="489"/>
      <c r="K2586" s="450"/>
      <c r="L2586" s="450"/>
      <c r="M2586" s="490" t="s">
        <v>813</v>
      </c>
      <c r="N2586" s="490">
        <v>1</v>
      </c>
    </row>
    <row r="2587" spans="1:14" hidden="1" outlineLevel="3">
      <c r="A2587" s="412"/>
      <c r="B2587" s="490"/>
      <c r="C2587" s="455"/>
      <c r="D2587" s="455"/>
      <c r="E2587" s="385"/>
      <c r="F2587" s="385"/>
      <c r="G2587" s="385"/>
      <c r="H2587" s="401" t="s">
        <v>3647</v>
      </c>
      <c r="I2587" s="456"/>
      <c r="J2587" s="489"/>
      <c r="K2587" s="450"/>
      <c r="L2587" s="450"/>
      <c r="M2587" s="490" t="s">
        <v>813</v>
      </c>
      <c r="N2587" s="490">
        <v>1</v>
      </c>
    </row>
    <row r="2588" spans="1:14" outlineLevel="1" collapsed="1">
      <c r="A2588" s="403" t="s">
        <v>336</v>
      </c>
      <c r="B2588" s="403"/>
      <c r="C2588" s="403"/>
      <c r="D2588" s="403"/>
      <c r="E2588" s="490"/>
      <c r="F2588" s="385"/>
      <c r="G2588" s="385"/>
      <c r="H2588" s="385" t="s">
        <v>64</v>
      </c>
      <c r="I2588" s="385"/>
      <c r="J2588" s="489"/>
      <c r="K2588" s="450"/>
      <c r="L2588" s="450"/>
      <c r="M2588" s="415"/>
      <c r="N2588" s="415"/>
    </row>
    <row r="2589" spans="1:14" s="384" customFormat="1" ht="87.75" hidden="1" customHeight="1" outlineLevel="2" collapsed="1">
      <c r="A2589" s="489" t="s">
        <v>1446</v>
      </c>
      <c r="B2589" s="490"/>
      <c r="C2589" s="452" t="s">
        <v>954</v>
      </c>
      <c r="D2589" s="452" t="s">
        <v>1830</v>
      </c>
      <c r="E2589" s="490" t="s">
        <v>3648</v>
      </c>
      <c r="F2589" s="385" t="s">
        <v>303</v>
      </c>
      <c r="G2589" s="385"/>
      <c r="H2589" s="401" t="s">
        <v>3649</v>
      </c>
      <c r="I2589" s="385" t="str">
        <f>CONCATENATE(I2590," ","(",H2590,")","-",N2590," ",M2590," ",I2591," ","(",H2591,")","-",N2591," ",M2591," ")</f>
        <v xml:space="preserve"> (Счетчик электрической энергии однофазный РиМ 189.12.ВК3)-3 шт  (Счетчик электрической энергии 3-х фазный РиМ 489.02.ВК3)-1 шт </v>
      </c>
      <c r="J2589" s="489" t="s">
        <v>365</v>
      </c>
      <c r="K2589" s="450">
        <v>44348</v>
      </c>
      <c r="L2589" s="450">
        <v>44408</v>
      </c>
      <c r="M2589" s="540"/>
      <c r="N2589" s="540"/>
    </row>
    <row r="2590" spans="1:14" ht="40.5" hidden="1" outlineLevel="3">
      <c r="A2590" s="408"/>
      <c r="B2590" s="408"/>
      <c r="C2590" s="412"/>
      <c r="D2590" s="399"/>
      <c r="E2590" s="408"/>
      <c r="F2590" s="385"/>
      <c r="G2590" s="385"/>
      <c r="H2590" s="401" t="s">
        <v>3650</v>
      </c>
      <c r="I2590" s="385"/>
      <c r="J2590" s="489"/>
      <c r="K2590" s="450"/>
      <c r="L2590" s="450"/>
      <c r="M2590" s="490" t="s">
        <v>813</v>
      </c>
      <c r="N2590" s="490">
        <v>3</v>
      </c>
    </row>
    <row r="2591" spans="1:14" ht="40.5" hidden="1" outlineLevel="3">
      <c r="A2591" s="408"/>
      <c r="B2591" s="408"/>
      <c r="C2591" s="408"/>
      <c r="D2591" s="408"/>
      <c r="E2591" s="408"/>
      <c r="F2591" s="385"/>
      <c r="G2591" s="385"/>
      <c r="H2591" s="401" t="s">
        <v>3651</v>
      </c>
      <c r="I2591" s="385"/>
      <c r="J2591" s="489"/>
      <c r="K2591" s="450"/>
      <c r="L2591" s="450"/>
      <c r="M2591" s="490" t="s">
        <v>813</v>
      </c>
      <c r="N2591" s="490">
        <v>1</v>
      </c>
    </row>
    <row r="2592" spans="1:14" outlineLevel="1" collapsed="1">
      <c r="A2592" s="403" t="s">
        <v>3217</v>
      </c>
      <c r="B2592" s="403"/>
      <c r="C2592" s="403"/>
      <c r="D2592" s="403"/>
      <c r="E2592" s="490"/>
      <c r="F2592" s="385"/>
      <c r="G2592" s="385"/>
      <c r="H2592" s="385" t="s">
        <v>65</v>
      </c>
      <c r="I2592" s="385"/>
      <c r="J2592" s="489"/>
      <c r="K2592" s="450"/>
      <c r="L2592" s="450"/>
      <c r="M2592" s="415"/>
      <c r="N2592" s="415"/>
    </row>
    <row r="2593" spans="1:14" hidden="1" outlineLevel="2">
      <c r="A2593" s="438"/>
      <c r="B2593" s="490"/>
      <c r="C2593" s="414"/>
      <c r="D2593" s="490"/>
      <c r="E2593" s="490"/>
      <c r="F2593" s="385"/>
      <c r="G2593" s="385"/>
      <c r="H2593" s="401"/>
      <c r="I2593" s="408" t="s">
        <v>65</v>
      </c>
      <c r="J2593" s="489"/>
      <c r="K2593" s="450"/>
      <c r="L2593" s="450"/>
      <c r="M2593" s="490"/>
      <c r="N2593" s="490"/>
    </row>
    <row r="2594" spans="1:14" hidden="1" outlineLevel="2">
      <c r="A2594" s="490"/>
      <c r="B2594" s="490"/>
      <c r="C2594" s="490"/>
      <c r="D2594" s="490"/>
      <c r="E2594" s="490"/>
      <c r="F2594" s="490"/>
      <c r="G2594" s="385"/>
      <c r="H2594" s="385"/>
      <c r="I2594" s="385"/>
      <c r="J2594" s="490"/>
      <c r="K2594" s="490"/>
      <c r="L2594" s="490"/>
      <c r="M2594" s="490"/>
      <c r="N2594" s="490"/>
    </row>
    <row r="2595" spans="1:14">
      <c r="A2595" s="438" t="s">
        <v>337</v>
      </c>
      <c r="B2595" s="490"/>
      <c r="C2595" s="414"/>
      <c r="D2595" s="490"/>
      <c r="E2595" s="490"/>
      <c r="F2595" s="385"/>
      <c r="G2595" s="385"/>
      <c r="H2595" s="539" t="s">
        <v>3218</v>
      </c>
      <c r="I2595" s="385"/>
      <c r="J2595" s="489"/>
      <c r="K2595" s="450"/>
      <c r="L2595" s="450"/>
      <c r="M2595" s="389"/>
      <c r="N2595" s="389"/>
    </row>
    <row r="2596" spans="1:14" s="384" customFormat="1" ht="222.75" customHeight="1" outlineLevel="1" collapsed="1">
      <c r="A2596" s="489" t="s">
        <v>1448</v>
      </c>
      <c r="B2596" s="490"/>
      <c r="C2596" s="398" t="s">
        <v>49</v>
      </c>
      <c r="D2596" s="399"/>
      <c r="E2596" s="490" t="s">
        <v>3219</v>
      </c>
      <c r="F2596" s="385" t="s">
        <v>3220</v>
      </c>
      <c r="G2596" s="385" t="s">
        <v>3221</v>
      </c>
      <c r="H2596" s="401" t="s">
        <v>3222</v>
      </c>
      <c r="I2596" s="385" t="str">
        <f>CONCATENATE(I2597," ",N2597,M2597," ",I2598," ",N2598,M2598," ","")</f>
        <v xml:space="preserve">Ремонт кровли 89м2 Ремонт отмостки 38м2 </v>
      </c>
      <c r="J2596" s="489" t="s">
        <v>365</v>
      </c>
      <c r="K2596" s="450">
        <v>44378</v>
      </c>
      <c r="L2596" s="450">
        <v>44439</v>
      </c>
      <c r="M2596" s="490"/>
      <c r="N2596" s="490"/>
    </row>
    <row r="2597" spans="1:14" ht="32.25" hidden="1" customHeight="1" outlineLevel="2">
      <c r="A2597" s="408"/>
      <c r="B2597" s="408"/>
      <c r="C2597" s="408"/>
      <c r="D2597" s="408"/>
      <c r="E2597" s="408"/>
      <c r="F2597" s="408"/>
      <c r="G2597" s="408"/>
      <c r="H2597" s="408"/>
      <c r="I2597" s="385" t="s">
        <v>3223</v>
      </c>
      <c r="J2597" s="489"/>
      <c r="K2597" s="450"/>
      <c r="L2597" s="450"/>
      <c r="M2597" s="490" t="s">
        <v>313</v>
      </c>
      <c r="N2597" s="490">
        <v>89</v>
      </c>
    </row>
    <row r="2598" spans="1:14" hidden="1" outlineLevel="2">
      <c r="A2598" s="408"/>
      <c r="B2598" s="408"/>
      <c r="C2598" s="408"/>
      <c r="D2598" s="408"/>
      <c r="E2598" s="408"/>
      <c r="F2598" s="408"/>
      <c r="G2598" s="408"/>
      <c r="H2598" s="408"/>
      <c r="I2598" s="385" t="s">
        <v>3224</v>
      </c>
      <c r="J2598" s="489"/>
      <c r="K2598" s="450"/>
      <c r="L2598" s="450"/>
      <c r="M2598" s="490" t="s">
        <v>313</v>
      </c>
      <c r="N2598" s="490">
        <v>38</v>
      </c>
    </row>
    <row r="2599" spans="1:14" s="384" customFormat="1" ht="121.5" outlineLevel="1" collapsed="1">
      <c r="A2599" s="489" t="s">
        <v>1449</v>
      </c>
      <c r="B2599" s="490"/>
      <c r="C2599" s="398" t="s">
        <v>49</v>
      </c>
      <c r="D2599" s="399"/>
      <c r="E2599" s="490" t="s">
        <v>3225</v>
      </c>
      <c r="F2599" s="385" t="s">
        <v>3220</v>
      </c>
      <c r="G2599" s="385" t="s">
        <v>3221</v>
      </c>
      <c r="H2599" s="401" t="s">
        <v>3226</v>
      </c>
      <c r="I2599" s="385" t="str">
        <f>CONCATENATE(I2600," ",N2600,M2600," ")</f>
        <v xml:space="preserve">Ремонт кровли 70м2 </v>
      </c>
      <c r="J2599" s="489" t="s">
        <v>365</v>
      </c>
      <c r="K2599" s="450">
        <v>44378</v>
      </c>
      <c r="L2599" s="474">
        <v>44408</v>
      </c>
      <c r="M2599" s="490"/>
      <c r="N2599" s="490"/>
    </row>
    <row r="2600" spans="1:14" hidden="1" outlineLevel="2">
      <c r="A2600" s="408"/>
      <c r="B2600" s="408"/>
      <c r="C2600" s="408"/>
      <c r="D2600" s="408"/>
      <c r="E2600" s="408"/>
      <c r="F2600" s="408"/>
      <c r="G2600" s="408"/>
      <c r="H2600" s="408"/>
      <c r="I2600" s="385" t="s">
        <v>3223</v>
      </c>
      <c r="J2600" s="489"/>
      <c r="K2600" s="450"/>
      <c r="L2600" s="450"/>
      <c r="M2600" s="490" t="s">
        <v>313</v>
      </c>
      <c r="N2600" s="490">
        <v>70</v>
      </c>
    </row>
    <row r="2601" spans="1:14" s="384" customFormat="1" ht="121.5" outlineLevel="1" collapsed="1">
      <c r="A2601" s="489" t="s">
        <v>1450</v>
      </c>
      <c r="B2601" s="490"/>
      <c r="C2601" s="490" t="s">
        <v>2315</v>
      </c>
      <c r="D2601" s="399"/>
      <c r="E2601" s="490" t="s">
        <v>3227</v>
      </c>
      <c r="F2601" s="385" t="s">
        <v>3220</v>
      </c>
      <c r="G2601" s="385" t="s">
        <v>3221</v>
      </c>
      <c r="H2601" s="401" t="s">
        <v>3228</v>
      </c>
      <c r="I2601" s="385" t="str">
        <f>CONCATENATE(I2602," ",N2602,M2602," ")</f>
        <v xml:space="preserve">Ремонт кровли 52м2 </v>
      </c>
      <c r="J2601" s="489" t="s">
        <v>365</v>
      </c>
      <c r="K2601" s="450">
        <v>44409</v>
      </c>
      <c r="L2601" s="474">
        <v>44439</v>
      </c>
      <c r="M2601" s="490"/>
      <c r="N2601" s="490"/>
    </row>
    <row r="2602" spans="1:14" hidden="1" outlineLevel="2">
      <c r="A2602" s="408"/>
      <c r="B2602" s="408"/>
      <c r="C2602" s="408"/>
      <c r="D2602" s="408"/>
      <c r="E2602" s="408"/>
      <c r="F2602" s="385"/>
      <c r="G2602" s="385"/>
      <c r="H2602" s="408"/>
      <c r="I2602" s="385" t="s">
        <v>3223</v>
      </c>
      <c r="J2602" s="489"/>
      <c r="K2602" s="450"/>
      <c r="L2602" s="450"/>
      <c r="M2602" s="490" t="s">
        <v>313</v>
      </c>
      <c r="N2602" s="490">
        <v>52</v>
      </c>
    </row>
    <row r="2603" spans="1:14" s="384" customFormat="1" ht="121.5" outlineLevel="1" collapsed="1">
      <c r="A2603" s="489" t="s">
        <v>1451</v>
      </c>
      <c r="B2603" s="490"/>
      <c r="C2603" s="490" t="s">
        <v>2126</v>
      </c>
      <c r="D2603" s="399"/>
      <c r="E2603" s="490" t="s">
        <v>3229</v>
      </c>
      <c r="F2603" s="385" t="s">
        <v>3220</v>
      </c>
      <c r="G2603" s="385" t="s">
        <v>3221</v>
      </c>
      <c r="H2603" s="401" t="s">
        <v>3230</v>
      </c>
      <c r="I2603" s="385" t="str">
        <f>CONCATENATE(I2609," ",N2609,M2609, I2608,"",N2608,M2608, I2607,"",N2607,M2607, I2606,"",N2606,M2606, I2605,"",N2605,M2605, I2604,"",N2604,M2604," ")</f>
        <v xml:space="preserve"> Ремонт полов9,61м3устройство водопроводной канавы30мРемонт стен15,725м3Ремонт отмостки36м2Ремонт кровли81м2 </v>
      </c>
      <c r="J2603" s="489" t="s">
        <v>365</v>
      </c>
      <c r="K2603" s="450">
        <v>44378</v>
      </c>
      <c r="L2603" s="474">
        <v>44408</v>
      </c>
      <c r="M2603" s="490"/>
      <c r="N2603" s="490"/>
    </row>
    <row r="2604" spans="1:14" hidden="1" outlineLevel="2">
      <c r="A2604" s="408"/>
      <c r="B2604" s="408"/>
      <c r="C2604" s="408"/>
      <c r="D2604" s="408"/>
      <c r="E2604" s="408"/>
      <c r="F2604" s="408"/>
      <c r="G2604" s="408"/>
      <c r="H2604" s="408"/>
      <c r="I2604" s="385" t="s">
        <v>3223</v>
      </c>
      <c r="J2604" s="489"/>
      <c r="K2604" s="450"/>
      <c r="L2604" s="450"/>
      <c r="M2604" s="490" t="s">
        <v>313</v>
      </c>
      <c r="N2604" s="490">
        <v>81</v>
      </c>
    </row>
    <row r="2605" spans="1:14" hidden="1" outlineLevel="2">
      <c r="A2605" s="408"/>
      <c r="B2605" s="408"/>
      <c r="C2605" s="408"/>
      <c r="D2605" s="408"/>
      <c r="E2605" s="408"/>
      <c r="F2605" s="408"/>
      <c r="G2605" s="408"/>
      <c r="H2605" s="408"/>
      <c r="I2605" s="385" t="s">
        <v>3224</v>
      </c>
      <c r="J2605" s="489"/>
      <c r="K2605" s="450"/>
      <c r="L2605" s="450"/>
      <c r="M2605" s="490" t="s">
        <v>313</v>
      </c>
      <c r="N2605" s="490">
        <v>36</v>
      </c>
    </row>
    <row r="2606" spans="1:14" hidden="1" outlineLevel="2">
      <c r="A2606" s="408"/>
      <c r="B2606" s="408"/>
      <c r="C2606" s="408"/>
      <c r="D2606" s="408"/>
      <c r="E2606" s="408"/>
      <c r="F2606" s="408"/>
      <c r="G2606" s="408"/>
      <c r="H2606" s="408"/>
      <c r="I2606" s="385" t="s">
        <v>3231</v>
      </c>
      <c r="J2606" s="489"/>
      <c r="K2606" s="450"/>
      <c r="L2606" s="450"/>
      <c r="M2606" s="490" t="s">
        <v>1059</v>
      </c>
      <c r="N2606" s="490">
        <v>15.725</v>
      </c>
    </row>
    <row r="2607" spans="1:14" hidden="1" outlineLevel="2">
      <c r="A2607" s="408"/>
      <c r="B2607" s="408"/>
      <c r="C2607" s="408"/>
      <c r="D2607" s="408"/>
      <c r="E2607" s="408"/>
      <c r="F2607" s="408"/>
      <c r="G2607" s="408"/>
      <c r="H2607" s="408"/>
      <c r="I2607" s="385" t="s">
        <v>3232</v>
      </c>
      <c r="J2607" s="489"/>
      <c r="K2607" s="450"/>
      <c r="L2607" s="450"/>
      <c r="M2607" s="490" t="s">
        <v>1064</v>
      </c>
      <c r="N2607" s="490">
        <v>30</v>
      </c>
    </row>
    <row r="2608" spans="1:14" hidden="1" outlineLevel="2">
      <c r="A2608" s="408"/>
      <c r="B2608" s="408"/>
      <c r="C2608" s="408"/>
      <c r="D2608" s="408"/>
      <c r="E2608" s="408"/>
      <c r="F2608" s="408"/>
      <c r="G2608" s="408"/>
      <c r="H2608" s="408"/>
      <c r="I2608" s="385" t="s">
        <v>3233</v>
      </c>
      <c r="J2608" s="489"/>
      <c r="K2608" s="450"/>
      <c r="L2608" s="450"/>
      <c r="M2608" s="490" t="s">
        <v>1059</v>
      </c>
      <c r="N2608" s="490">
        <v>9.61</v>
      </c>
    </row>
    <row r="2609" spans="1:14" hidden="1" outlineLevel="2">
      <c r="A2609" s="408"/>
      <c r="B2609" s="408"/>
      <c r="C2609" s="408"/>
      <c r="D2609" s="408"/>
      <c r="E2609" s="408"/>
      <c r="F2609" s="408"/>
      <c r="G2609" s="408"/>
      <c r="H2609" s="408"/>
      <c r="I2609" s="385"/>
      <c r="J2609" s="489"/>
      <c r="K2609" s="450"/>
      <c r="L2609" s="450"/>
      <c r="M2609" s="490"/>
      <c r="N2609" s="490"/>
    </row>
    <row r="2610" spans="1:14" s="384" customFormat="1" ht="105" customHeight="1" outlineLevel="1" collapsed="1">
      <c r="A2610" s="489" t="s">
        <v>1452</v>
      </c>
      <c r="B2610" s="490"/>
      <c r="C2610" s="490" t="s">
        <v>2126</v>
      </c>
      <c r="D2610" s="399"/>
      <c r="E2610" s="490" t="s">
        <v>3234</v>
      </c>
      <c r="F2610" s="385" t="s">
        <v>3235</v>
      </c>
      <c r="G2610" s="385" t="s">
        <v>3236</v>
      </c>
      <c r="H2610" s="401" t="s">
        <v>3237</v>
      </c>
      <c r="I2610" s="385" t="str">
        <f>CONCATENATE(I2612," ",N2612,M2612,I2611,N2611,M2611)</f>
        <v>Ремонт отмостки 29м2Ремонт кровли53м2</v>
      </c>
      <c r="J2610" s="489" t="s">
        <v>365</v>
      </c>
      <c r="K2610" s="450">
        <v>44409</v>
      </c>
      <c r="L2610" s="474">
        <v>44439</v>
      </c>
      <c r="M2610" s="490"/>
      <c r="N2610" s="490"/>
    </row>
    <row r="2611" spans="1:14" hidden="1" outlineLevel="2">
      <c r="A2611" s="408"/>
      <c r="B2611" s="408"/>
      <c r="C2611" s="408"/>
      <c r="D2611" s="408"/>
      <c r="E2611" s="408"/>
      <c r="F2611" s="385"/>
      <c r="G2611" s="385"/>
      <c r="H2611" s="408"/>
      <c r="I2611" s="385" t="s">
        <v>3223</v>
      </c>
      <c r="J2611" s="489"/>
      <c r="K2611" s="450"/>
      <c r="L2611" s="450"/>
      <c r="M2611" s="490" t="s">
        <v>313</v>
      </c>
      <c r="N2611" s="490">
        <v>53</v>
      </c>
    </row>
    <row r="2612" spans="1:14" hidden="1" outlineLevel="2">
      <c r="A2612" s="408"/>
      <c r="B2612" s="408"/>
      <c r="C2612" s="408"/>
      <c r="D2612" s="408"/>
      <c r="E2612" s="408"/>
      <c r="F2612" s="385"/>
      <c r="G2612" s="385"/>
      <c r="H2612" s="408"/>
      <c r="I2612" s="385" t="s">
        <v>3224</v>
      </c>
      <c r="J2612" s="489"/>
      <c r="K2612" s="450"/>
      <c r="L2612" s="450"/>
      <c r="M2612" s="490" t="s">
        <v>313</v>
      </c>
      <c r="N2612" s="490">
        <v>29</v>
      </c>
    </row>
    <row r="2613" spans="1:14" s="384" customFormat="1" ht="121.5" outlineLevel="1" collapsed="1">
      <c r="A2613" s="489" t="s">
        <v>1453</v>
      </c>
      <c r="B2613" s="490"/>
      <c r="C2613" s="490" t="s">
        <v>2126</v>
      </c>
      <c r="D2613" s="385" t="s">
        <v>3238</v>
      </c>
      <c r="E2613" s="490" t="s">
        <v>3239</v>
      </c>
      <c r="F2613" s="385" t="s">
        <v>3220</v>
      </c>
      <c r="G2613" s="385" t="s">
        <v>3221</v>
      </c>
      <c r="H2613" s="401" t="s">
        <v>3240</v>
      </c>
      <c r="I2613" s="385" t="str">
        <f>CONCATENATE(I2615," ",N2615,M2615,I2614,N2614,M2614)</f>
        <v>Ремонт отмостки 33м2Ремонт кровли63м2</v>
      </c>
      <c r="J2613" s="489" t="s">
        <v>365</v>
      </c>
      <c r="K2613" s="450">
        <v>44378</v>
      </c>
      <c r="L2613" s="474">
        <v>44408</v>
      </c>
      <c r="M2613" s="490"/>
      <c r="N2613" s="490"/>
    </row>
    <row r="2614" spans="1:14" hidden="1" outlineLevel="2">
      <c r="A2614" s="408"/>
      <c r="B2614" s="408"/>
      <c r="C2614" s="408"/>
      <c r="D2614" s="408"/>
      <c r="E2614" s="408"/>
      <c r="F2614" s="408"/>
      <c r="G2614" s="408"/>
      <c r="H2614" s="408"/>
      <c r="I2614" s="385" t="s">
        <v>3223</v>
      </c>
      <c r="J2614" s="489"/>
      <c r="K2614" s="450"/>
      <c r="L2614" s="450"/>
      <c r="M2614" s="490" t="s">
        <v>313</v>
      </c>
      <c r="N2614" s="490">
        <v>63</v>
      </c>
    </row>
    <row r="2615" spans="1:14" hidden="1" outlineLevel="2">
      <c r="A2615" s="408"/>
      <c r="B2615" s="408"/>
      <c r="C2615" s="408"/>
      <c r="D2615" s="408"/>
      <c r="E2615" s="408"/>
      <c r="F2615" s="408"/>
      <c r="G2615" s="408"/>
      <c r="H2615" s="408"/>
      <c r="I2615" s="385" t="s">
        <v>3224</v>
      </c>
      <c r="J2615" s="489"/>
      <c r="K2615" s="450"/>
      <c r="L2615" s="450"/>
      <c r="M2615" s="490" t="s">
        <v>313</v>
      </c>
      <c r="N2615" s="490">
        <v>33</v>
      </c>
    </row>
    <row r="2616" spans="1:14" s="384" customFormat="1" ht="121.5" outlineLevel="1" collapsed="1">
      <c r="A2616" s="489" t="s">
        <v>1454</v>
      </c>
      <c r="B2616" s="490"/>
      <c r="C2616" s="398" t="s">
        <v>47</v>
      </c>
      <c r="D2616" s="399"/>
      <c r="E2616" s="490" t="s">
        <v>3241</v>
      </c>
      <c r="F2616" s="385" t="s">
        <v>3220</v>
      </c>
      <c r="G2616" s="385" t="s">
        <v>3221</v>
      </c>
      <c r="H2616" s="401" t="s">
        <v>3242</v>
      </c>
      <c r="I2616" s="385" t="str">
        <f>CONCATENATE(I2617," ",N2617,M2617," ")</f>
        <v xml:space="preserve">Ремонт кровли 33м2 </v>
      </c>
      <c r="J2616" s="489" t="s">
        <v>365</v>
      </c>
      <c r="K2616" s="450">
        <v>44348</v>
      </c>
      <c r="L2616" s="450">
        <v>44377</v>
      </c>
      <c r="M2616" s="490"/>
      <c r="N2616" s="490"/>
    </row>
    <row r="2617" spans="1:14" hidden="1" outlineLevel="2">
      <c r="A2617" s="408"/>
      <c r="B2617" s="408"/>
      <c r="C2617" s="408"/>
      <c r="D2617" s="408"/>
      <c r="E2617" s="408"/>
      <c r="F2617" s="385"/>
      <c r="G2617" s="385"/>
      <c r="H2617" s="408"/>
      <c r="I2617" s="385" t="s">
        <v>3223</v>
      </c>
      <c r="J2617" s="489"/>
      <c r="K2617" s="450"/>
      <c r="L2617" s="450"/>
      <c r="M2617" s="490" t="s">
        <v>313</v>
      </c>
      <c r="N2617" s="490">
        <v>33</v>
      </c>
    </row>
    <row r="2618" spans="1:14" s="384" customFormat="1" ht="121.5" outlineLevel="1" collapsed="1">
      <c r="A2618" s="489" t="s">
        <v>1455</v>
      </c>
      <c r="B2618" s="490"/>
      <c r="C2618" s="398" t="s">
        <v>47</v>
      </c>
      <c r="D2618" s="399"/>
      <c r="E2618" s="490" t="s">
        <v>3243</v>
      </c>
      <c r="F2618" s="385" t="s">
        <v>3220</v>
      </c>
      <c r="G2618" s="385" t="s">
        <v>3221</v>
      </c>
      <c r="H2618" s="401" t="s">
        <v>3244</v>
      </c>
      <c r="I2618" s="385" t="str">
        <f>CONCATENATE(I2619," ",N2619,M2619," ")</f>
        <v xml:space="preserve">Ремонт кровли 61м2 </v>
      </c>
      <c r="J2618" s="489" t="s">
        <v>365</v>
      </c>
      <c r="K2618" s="450">
        <v>44348</v>
      </c>
      <c r="L2618" s="474">
        <v>44377</v>
      </c>
      <c r="M2618" s="490"/>
      <c r="N2618" s="490"/>
    </row>
    <row r="2619" spans="1:14" hidden="1" outlineLevel="2">
      <c r="A2619" s="408"/>
      <c r="B2619" s="408"/>
      <c r="C2619" s="408"/>
      <c r="D2619" s="408"/>
      <c r="E2619" s="408"/>
      <c r="F2619" s="408"/>
      <c r="G2619" s="408"/>
      <c r="H2619" s="408"/>
      <c r="I2619" s="385" t="s">
        <v>3223</v>
      </c>
      <c r="J2619" s="489"/>
      <c r="K2619" s="450"/>
      <c r="L2619" s="450"/>
      <c r="M2619" s="490" t="s">
        <v>313</v>
      </c>
      <c r="N2619" s="490">
        <v>61</v>
      </c>
    </row>
    <row r="2620" spans="1:14" s="384" customFormat="1" ht="40.5" outlineLevel="1" collapsed="1">
      <c r="A2620" s="489" t="s">
        <v>1456</v>
      </c>
      <c r="B2620" s="490"/>
      <c r="C2620" s="398" t="s">
        <v>49</v>
      </c>
      <c r="D2620" s="399" t="s">
        <v>2094</v>
      </c>
      <c r="E2620" s="490" t="s">
        <v>3245</v>
      </c>
      <c r="F2620" s="385" t="s">
        <v>303</v>
      </c>
      <c r="G2620" s="385"/>
      <c r="H2620" s="401" t="s">
        <v>3246</v>
      </c>
      <c r="I2620" s="385" t="str">
        <f>CONCATENATE(I2621," ",N2621,M2621," ",I2622," ",N2622,M2622)</f>
        <v xml:space="preserve">Ремонт кровли 72м2  </v>
      </c>
      <c r="J2620" s="489" t="s">
        <v>365</v>
      </c>
      <c r="K2620" s="450">
        <v>44409</v>
      </c>
      <c r="L2620" s="450">
        <v>44439</v>
      </c>
      <c r="M2620" s="490"/>
      <c r="N2620" s="490"/>
    </row>
    <row r="2621" spans="1:14" ht="21.75" hidden="1" customHeight="1" outlineLevel="2">
      <c r="A2621" s="408"/>
      <c r="B2621" s="408"/>
      <c r="C2621" s="412" t="s">
        <v>49</v>
      </c>
      <c r="D2621" s="399" t="s">
        <v>2094</v>
      </c>
      <c r="E2621" s="408"/>
      <c r="F2621" s="385"/>
      <c r="G2621" s="408"/>
      <c r="H2621" s="408"/>
      <c r="I2621" s="385" t="s">
        <v>3223</v>
      </c>
      <c r="J2621" s="489"/>
      <c r="K2621" s="450"/>
      <c r="L2621" s="450"/>
      <c r="M2621" s="490" t="s">
        <v>313</v>
      </c>
      <c r="N2621" s="490">
        <v>72</v>
      </c>
    </row>
    <row r="2622" spans="1:14" hidden="1" outlineLevel="2">
      <c r="A2622" s="408"/>
      <c r="B2622" s="408"/>
      <c r="C2622" s="408"/>
      <c r="D2622" s="408"/>
      <c r="E2622" s="408"/>
      <c r="F2622" s="408"/>
      <c r="G2622" s="408"/>
      <c r="H2622" s="408"/>
      <c r="I2622" s="385"/>
      <c r="J2622" s="489"/>
      <c r="K2622" s="450"/>
      <c r="L2622" s="450"/>
      <c r="M2622" s="490"/>
      <c r="N2622" s="490"/>
    </row>
    <row r="2623" spans="1:14" s="481" customFormat="1" ht="40.5" outlineLevel="1" collapsed="1">
      <c r="A2623" s="489" t="s">
        <v>1457</v>
      </c>
      <c r="B2623" s="490"/>
      <c r="C2623" s="398" t="s">
        <v>49</v>
      </c>
      <c r="D2623" s="399" t="s">
        <v>2094</v>
      </c>
      <c r="E2623" s="490" t="s">
        <v>3247</v>
      </c>
      <c r="F2623" s="385" t="s">
        <v>303</v>
      </c>
      <c r="G2623" s="385"/>
      <c r="H2623" s="401" t="s">
        <v>3248</v>
      </c>
      <c r="I2623" s="385" t="str">
        <f>CONCATENATE(I2624," ",N2624,M2624," ",I2625," ",N2625,M2625)</f>
        <v xml:space="preserve">Ремонт кровли 92м2  </v>
      </c>
      <c r="J2623" s="489" t="s">
        <v>365</v>
      </c>
      <c r="K2623" s="450">
        <v>44470</v>
      </c>
      <c r="L2623" s="450">
        <v>44500</v>
      </c>
      <c r="M2623" s="490"/>
      <c r="N2623" s="490"/>
    </row>
    <row r="2624" spans="1:14" ht="29.25" hidden="1" customHeight="1" outlineLevel="2">
      <c r="A2624" s="408"/>
      <c r="B2624" s="408"/>
      <c r="C2624" s="412" t="s">
        <v>49</v>
      </c>
      <c r="D2624" s="399" t="s">
        <v>2094</v>
      </c>
      <c r="E2624" s="408"/>
      <c r="F2624" s="385"/>
      <c r="G2624" s="408"/>
      <c r="H2624" s="408"/>
      <c r="I2624" s="385" t="s">
        <v>3223</v>
      </c>
      <c r="J2624" s="489"/>
      <c r="K2624" s="450"/>
      <c r="L2624" s="450"/>
      <c r="M2624" s="490" t="s">
        <v>313</v>
      </c>
      <c r="N2624" s="490">
        <v>92</v>
      </c>
    </row>
    <row r="2625" spans="1:14" hidden="1" outlineLevel="2">
      <c r="A2625" s="408"/>
      <c r="B2625" s="408"/>
      <c r="C2625" s="408"/>
      <c r="D2625" s="408"/>
      <c r="E2625" s="408"/>
      <c r="F2625" s="408"/>
      <c r="G2625" s="408"/>
      <c r="H2625" s="408"/>
      <c r="I2625" s="385"/>
      <c r="J2625" s="489"/>
      <c r="K2625" s="450"/>
      <c r="L2625" s="450"/>
      <c r="M2625" s="490"/>
      <c r="N2625" s="490"/>
    </row>
    <row r="2626" spans="1:14" s="384" customFormat="1" ht="40.5" outlineLevel="1" collapsed="1">
      <c r="A2626" s="489" t="s">
        <v>1458</v>
      </c>
      <c r="B2626" s="490"/>
      <c r="C2626" s="398" t="s">
        <v>49</v>
      </c>
      <c r="D2626" s="399" t="s">
        <v>2094</v>
      </c>
      <c r="E2626" s="490" t="s">
        <v>3251</v>
      </c>
      <c r="F2626" s="385" t="s">
        <v>303</v>
      </c>
      <c r="G2626" s="385"/>
      <c r="H2626" s="401" t="s">
        <v>3252</v>
      </c>
      <c r="I2626" s="385" t="str">
        <f>CONCATENATE(I2627," ",N2627,M2627," ",I2628," ",N2628,M2628)</f>
        <v xml:space="preserve">ремонт обогрева  4шт.  </v>
      </c>
      <c r="J2626" s="489" t="s">
        <v>365</v>
      </c>
      <c r="K2626" s="450">
        <v>44348</v>
      </c>
      <c r="L2626" s="450">
        <v>44377</v>
      </c>
      <c r="M2626" s="490"/>
      <c r="N2626" s="490"/>
    </row>
    <row r="2627" spans="1:14" ht="15" hidden="1" customHeight="1" outlineLevel="2">
      <c r="A2627" s="408"/>
      <c r="B2627" s="408"/>
      <c r="C2627" s="412" t="s">
        <v>49</v>
      </c>
      <c r="D2627" s="399" t="s">
        <v>2094</v>
      </c>
      <c r="E2627" s="408"/>
      <c r="F2627" s="385"/>
      <c r="G2627" s="408"/>
      <c r="H2627" s="408"/>
      <c r="I2627" s="385" t="s">
        <v>3253</v>
      </c>
      <c r="J2627" s="489"/>
      <c r="K2627" s="450"/>
      <c r="L2627" s="450"/>
      <c r="M2627" s="490" t="s">
        <v>37</v>
      </c>
      <c r="N2627" s="490">
        <v>4</v>
      </c>
    </row>
    <row r="2628" spans="1:14" hidden="1" outlineLevel="2">
      <c r="A2628" s="408"/>
      <c r="B2628" s="408"/>
      <c r="C2628" s="408"/>
      <c r="D2628" s="408"/>
      <c r="E2628" s="408"/>
      <c r="F2628" s="408"/>
      <c r="G2628" s="408"/>
      <c r="H2628" s="408"/>
      <c r="I2628" s="385"/>
      <c r="J2628" s="489"/>
      <c r="K2628" s="450"/>
      <c r="L2628" s="450"/>
      <c r="M2628" s="490"/>
      <c r="N2628" s="490"/>
    </row>
    <row r="2629" spans="1:14" s="384" customFormat="1" ht="81" outlineLevel="1" collapsed="1">
      <c r="A2629" s="489" t="s">
        <v>1459</v>
      </c>
      <c r="B2629" s="490"/>
      <c r="C2629" s="398" t="s">
        <v>49</v>
      </c>
      <c r="D2629" s="399" t="s">
        <v>2094</v>
      </c>
      <c r="E2629" s="490" t="s">
        <v>3254</v>
      </c>
      <c r="F2629" s="385" t="s">
        <v>303</v>
      </c>
      <c r="G2629" s="385"/>
      <c r="H2629" s="401" t="s">
        <v>2826</v>
      </c>
      <c r="I2629" s="385" t="str">
        <f>CONCATENATE(I2630," ",N2630,M2630," ",I2631," ",N2631,M2631," "," ",I2632," ",N2632,M2632," ",I2633," ",N2633,M2633," ",I2634," ",N2634,M2634)</f>
        <v>Ремонт строительной части 1шт ремонт обогрева  6шт.  ремонт освещение 1шт. Ограждение панелей СН в ОПУ 9м2. Ремонт ограждения ПС 
 30м.</v>
      </c>
      <c r="J2629" s="489" t="s">
        <v>365</v>
      </c>
      <c r="K2629" s="450">
        <v>44317</v>
      </c>
      <c r="L2629" s="450">
        <v>44347</v>
      </c>
      <c r="M2629" s="490"/>
      <c r="N2629" s="490"/>
    </row>
    <row r="2630" spans="1:14" ht="33.75" hidden="1" customHeight="1" outlineLevel="2">
      <c r="A2630" s="408"/>
      <c r="B2630" s="408"/>
      <c r="C2630" s="412"/>
      <c r="D2630" s="399"/>
      <c r="E2630" s="408"/>
      <c r="F2630" s="385"/>
      <c r="G2630" s="408"/>
      <c r="H2630" s="408"/>
      <c r="I2630" s="385" t="s">
        <v>3250</v>
      </c>
      <c r="J2630" s="489"/>
      <c r="K2630" s="450"/>
      <c r="L2630" s="450"/>
      <c r="M2630" s="490" t="s">
        <v>813</v>
      </c>
      <c r="N2630" s="490">
        <v>1</v>
      </c>
    </row>
    <row r="2631" spans="1:14" hidden="1" outlineLevel="2">
      <c r="A2631" s="408"/>
      <c r="B2631" s="408"/>
      <c r="C2631" s="412"/>
      <c r="D2631" s="399"/>
      <c r="E2631" s="408"/>
      <c r="F2631" s="408"/>
      <c r="G2631" s="408"/>
      <c r="H2631" s="408"/>
      <c r="I2631" s="385" t="s">
        <v>3253</v>
      </c>
      <c r="J2631" s="489"/>
      <c r="K2631" s="450"/>
      <c r="L2631" s="450"/>
      <c r="M2631" s="490" t="s">
        <v>37</v>
      </c>
      <c r="N2631" s="490">
        <v>6</v>
      </c>
    </row>
    <row r="2632" spans="1:14" hidden="1" outlineLevel="2">
      <c r="A2632" s="408"/>
      <c r="B2632" s="408"/>
      <c r="C2632" s="412"/>
      <c r="D2632" s="399"/>
      <c r="E2632" s="408"/>
      <c r="F2632" s="408"/>
      <c r="G2632" s="408"/>
      <c r="H2632" s="408"/>
      <c r="I2632" s="385" t="s">
        <v>3255</v>
      </c>
      <c r="J2632" s="489"/>
      <c r="K2632" s="450"/>
      <c r="L2632" s="450"/>
      <c r="M2632" s="490" t="s">
        <v>37</v>
      </c>
      <c r="N2632" s="490">
        <v>1</v>
      </c>
    </row>
    <row r="2633" spans="1:14" hidden="1" outlineLevel="2">
      <c r="A2633" s="438"/>
      <c r="B2633" s="490"/>
      <c r="C2633" s="412"/>
      <c r="D2633" s="399"/>
      <c r="E2633" s="385"/>
      <c r="F2633" s="408"/>
      <c r="G2633" s="408"/>
      <c r="H2633" s="401"/>
      <c r="I2633" s="385" t="s">
        <v>3256</v>
      </c>
      <c r="J2633" s="489"/>
      <c r="K2633" s="450"/>
      <c r="L2633" s="450"/>
      <c r="M2633" s="490" t="s">
        <v>3257</v>
      </c>
      <c r="N2633" s="490">
        <v>9</v>
      </c>
    </row>
    <row r="2634" spans="1:14" ht="40.5" hidden="1" outlineLevel="2">
      <c r="A2634" s="438"/>
      <c r="B2634" s="490"/>
      <c r="C2634" s="412"/>
      <c r="D2634" s="399"/>
      <c r="E2634" s="385"/>
      <c r="F2634" s="408"/>
      <c r="G2634" s="408"/>
      <c r="H2634" s="401"/>
      <c r="I2634" s="385" t="s">
        <v>3258</v>
      </c>
      <c r="J2634" s="489"/>
      <c r="K2634" s="450"/>
      <c r="L2634" s="450"/>
      <c r="M2634" s="490" t="s">
        <v>2288</v>
      </c>
      <c r="N2634" s="490">
        <v>30</v>
      </c>
    </row>
    <row r="2635" spans="1:14" s="384" customFormat="1" ht="83.25" customHeight="1" outlineLevel="1" collapsed="1">
      <c r="A2635" s="489" t="s">
        <v>1460</v>
      </c>
      <c r="B2635" s="490"/>
      <c r="C2635" s="398" t="s">
        <v>49</v>
      </c>
      <c r="D2635" s="399" t="s">
        <v>2094</v>
      </c>
      <c r="E2635" s="490" t="s">
        <v>3259</v>
      </c>
      <c r="F2635" s="385" t="s">
        <v>303</v>
      </c>
      <c r="G2635" s="385"/>
      <c r="H2635" s="401" t="s">
        <v>3260</v>
      </c>
      <c r="I2635" s="385" t="str">
        <f>CONCATENATE(I2636," ",N2636,M2636," ",I2637," ",N2637,M2637," "," ",I2638," ",N2638,M2638," ",I2639," ",N2639,M2639)</f>
        <v xml:space="preserve">Ремонт строительной части 1шт ремонт освещение 1шт.  Покраска дверей, оборудования 50м2  </v>
      </c>
      <c r="J2635" s="489" t="s">
        <v>365</v>
      </c>
      <c r="K2635" s="450">
        <v>44317</v>
      </c>
      <c r="L2635" s="450">
        <v>44347</v>
      </c>
      <c r="M2635" s="490"/>
      <c r="N2635" s="490"/>
    </row>
    <row r="2636" spans="1:14" hidden="1" outlineLevel="2">
      <c r="A2636" s="408"/>
      <c r="B2636" s="408"/>
      <c r="C2636" s="412" t="s">
        <v>49</v>
      </c>
      <c r="D2636" s="399" t="s">
        <v>2094</v>
      </c>
      <c r="E2636" s="408"/>
      <c r="F2636" s="385"/>
      <c r="G2636" s="408"/>
      <c r="H2636" s="408"/>
      <c r="I2636" s="385" t="s">
        <v>3250</v>
      </c>
      <c r="J2636" s="489"/>
      <c r="K2636" s="450"/>
      <c r="L2636" s="450"/>
      <c r="M2636" s="490" t="s">
        <v>813</v>
      </c>
      <c r="N2636" s="490">
        <v>1</v>
      </c>
    </row>
    <row r="2637" spans="1:14" hidden="1" outlineLevel="2">
      <c r="A2637" s="408"/>
      <c r="B2637" s="408"/>
      <c r="C2637" s="412" t="s">
        <v>49</v>
      </c>
      <c r="D2637" s="399" t="s">
        <v>2094</v>
      </c>
      <c r="E2637" s="408"/>
      <c r="F2637" s="408"/>
      <c r="G2637" s="408"/>
      <c r="H2637" s="408"/>
      <c r="I2637" s="385" t="s">
        <v>3255</v>
      </c>
      <c r="J2637" s="489"/>
      <c r="K2637" s="450"/>
      <c r="L2637" s="450"/>
      <c r="M2637" s="490" t="s">
        <v>37</v>
      </c>
      <c r="N2637" s="490">
        <v>1</v>
      </c>
    </row>
    <row r="2638" spans="1:14" hidden="1" outlineLevel="2">
      <c r="A2638" s="408"/>
      <c r="B2638" s="408"/>
      <c r="C2638" s="412" t="s">
        <v>49</v>
      </c>
      <c r="D2638" s="399" t="s">
        <v>2094</v>
      </c>
      <c r="E2638" s="408"/>
      <c r="F2638" s="408"/>
      <c r="G2638" s="408"/>
      <c r="H2638" s="408"/>
      <c r="I2638" s="385" t="s">
        <v>3261</v>
      </c>
      <c r="J2638" s="489"/>
      <c r="K2638" s="450"/>
      <c r="L2638" s="450"/>
      <c r="M2638" s="490" t="s">
        <v>313</v>
      </c>
      <c r="N2638" s="490">
        <v>50</v>
      </c>
    </row>
    <row r="2639" spans="1:14" hidden="1" outlineLevel="2">
      <c r="A2639" s="438"/>
      <c r="B2639" s="490"/>
      <c r="C2639" s="398"/>
      <c r="D2639" s="399"/>
      <c r="E2639" s="385"/>
      <c r="F2639" s="408"/>
      <c r="G2639" s="408"/>
      <c r="H2639" s="401"/>
      <c r="I2639" s="385"/>
      <c r="J2639" s="489"/>
      <c r="K2639" s="450"/>
      <c r="L2639" s="450"/>
      <c r="M2639" s="490"/>
      <c r="N2639" s="490"/>
    </row>
    <row r="2640" spans="1:14" s="384" customFormat="1" ht="75.75" customHeight="1" outlineLevel="1" collapsed="1">
      <c r="A2640" s="489" t="s">
        <v>1461</v>
      </c>
      <c r="B2640" s="490"/>
      <c r="C2640" s="398" t="s">
        <v>49</v>
      </c>
      <c r="D2640" s="399" t="s">
        <v>2094</v>
      </c>
      <c r="E2640" s="490" t="s">
        <v>3262</v>
      </c>
      <c r="F2640" s="385" t="s">
        <v>303</v>
      </c>
      <c r="G2640" s="385"/>
      <c r="H2640" s="401" t="s">
        <v>3263</v>
      </c>
      <c r="I2640" s="385" t="str">
        <f>CONCATENATE(I2641," ",N2641,M2641," ",I2642," ",N2642,M2642)</f>
        <v>ремонт освещение 1шт. Покраска дверей, оборудования 50м2</v>
      </c>
      <c r="J2640" s="489" t="s">
        <v>365</v>
      </c>
      <c r="K2640" s="450">
        <v>44378</v>
      </c>
      <c r="L2640" s="450">
        <v>44408</v>
      </c>
      <c r="M2640" s="490"/>
      <c r="N2640" s="490"/>
    </row>
    <row r="2641" spans="1:14" hidden="1" outlineLevel="2">
      <c r="A2641" s="408"/>
      <c r="B2641" s="408"/>
      <c r="C2641" s="412" t="s">
        <v>49</v>
      </c>
      <c r="D2641" s="399" t="s">
        <v>2094</v>
      </c>
      <c r="E2641" s="408"/>
      <c r="F2641" s="385"/>
      <c r="G2641" s="408"/>
      <c r="H2641" s="408"/>
      <c r="I2641" s="385" t="s">
        <v>3255</v>
      </c>
      <c r="J2641" s="489"/>
      <c r="K2641" s="450"/>
      <c r="L2641" s="450"/>
      <c r="M2641" s="490" t="s">
        <v>37</v>
      </c>
      <c r="N2641" s="490">
        <v>1</v>
      </c>
    </row>
    <row r="2642" spans="1:14" hidden="1" outlineLevel="2">
      <c r="A2642" s="408"/>
      <c r="B2642" s="408"/>
      <c r="C2642" s="412" t="s">
        <v>49</v>
      </c>
      <c r="D2642" s="399" t="s">
        <v>2094</v>
      </c>
      <c r="E2642" s="408"/>
      <c r="F2642" s="408"/>
      <c r="G2642" s="408"/>
      <c r="H2642" s="408"/>
      <c r="I2642" s="385" t="s">
        <v>3261</v>
      </c>
      <c r="J2642" s="489"/>
      <c r="K2642" s="450"/>
      <c r="L2642" s="450"/>
      <c r="M2642" s="490" t="s">
        <v>313</v>
      </c>
      <c r="N2642" s="490">
        <v>50</v>
      </c>
    </row>
    <row r="2643" spans="1:14" hidden="1" outlineLevel="2">
      <c r="A2643" s="438"/>
      <c r="B2643" s="490"/>
      <c r="C2643" s="398"/>
      <c r="D2643" s="399"/>
      <c r="E2643" s="385"/>
      <c r="F2643" s="408"/>
      <c r="G2643" s="408"/>
      <c r="H2643" s="401"/>
      <c r="I2643" s="385"/>
      <c r="J2643" s="489"/>
      <c r="K2643" s="450"/>
      <c r="L2643" s="450"/>
      <c r="M2643" s="490"/>
      <c r="N2643" s="490"/>
    </row>
    <row r="2644" spans="1:14" s="384" customFormat="1" ht="40.5" outlineLevel="1" collapsed="1">
      <c r="A2644" s="489" t="s">
        <v>1462</v>
      </c>
      <c r="B2644" s="490"/>
      <c r="C2644" s="398" t="s">
        <v>49</v>
      </c>
      <c r="D2644" s="399" t="s">
        <v>2094</v>
      </c>
      <c r="E2644" s="490" t="s">
        <v>3264</v>
      </c>
      <c r="F2644" s="385" t="s">
        <v>303</v>
      </c>
      <c r="G2644" s="385"/>
      <c r="H2644" s="401" t="s">
        <v>3265</v>
      </c>
      <c r="I2644" s="385" t="str">
        <f>CONCATENATE(I2645," ",N2645,M2645," ",I2646," ",N2646,M2646," "," ",I2647," ",N2647,M2647)</f>
        <v xml:space="preserve">ремонт освещение 1шт. Покраска дверей, оборудования 50м2   </v>
      </c>
      <c r="J2644" s="489" t="s">
        <v>365</v>
      </c>
      <c r="K2644" s="450">
        <v>44470</v>
      </c>
      <c r="L2644" s="450">
        <v>44500</v>
      </c>
      <c r="M2644" s="490"/>
      <c r="N2644" s="490"/>
    </row>
    <row r="2645" spans="1:14" hidden="1" outlineLevel="2">
      <c r="A2645" s="408"/>
      <c r="B2645" s="408"/>
      <c r="C2645" s="412" t="s">
        <v>49</v>
      </c>
      <c r="D2645" s="399" t="s">
        <v>2094</v>
      </c>
      <c r="E2645" s="408"/>
      <c r="F2645" s="385"/>
      <c r="G2645" s="408"/>
      <c r="H2645" s="408"/>
      <c r="I2645" s="385" t="s">
        <v>3255</v>
      </c>
      <c r="J2645" s="489"/>
      <c r="K2645" s="450"/>
      <c r="L2645" s="450"/>
      <c r="M2645" s="490" t="s">
        <v>37</v>
      </c>
      <c r="N2645" s="490">
        <v>1</v>
      </c>
    </row>
    <row r="2646" spans="1:14" hidden="1" outlineLevel="2">
      <c r="A2646" s="408"/>
      <c r="B2646" s="408"/>
      <c r="C2646" s="408"/>
      <c r="D2646" s="408"/>
      <c r="E2646" s="408"/>
      <c r="F2646" s="408"/>
      <c r="G2646" s="408"/>
      <c r="H2646" s="408"/>
      <c r="I2646" s="385" t="s">
        <v>3261</v>
      </c>
      <c r="J2646" s="489"/>
      <c r="K2646" s="450"/>
      <c r="L2646" s="450"/>
      <c r="M2646" s="490" t="s">
        <v>313</v>
      </c>
      <c r="N2646" s="490">
        <v>50</v>
      </c>
    </row>
    <row r="2647" spans="1:14" hidden="1" outlineLevel="2">
      <c r="A2647" s="408"/>
      <c r="B2647" s="408"/>
      <c r="C2647" s="408"/>
      <c r="D2647" s="408"/>
      <c r="E2647" s="408"/>
      <c r="F2647" s="408"/>
      <c r="G2647" s="408"/>
      <c r="H2647" s="408"/>
      <c r="I2647" s="385"/>
      <c r="J2647" s="489"/>
      <c r="K2647" s="450"/>
      <c r="L2647" s="450"/>
      <c r="M2647" s="490"/>
      <c r="N2647" s="490"/>
    </row>
    <row r="2648" spans="1:14" s="384" customFormat="1" ht="74.25" customHeight="1" outlineLevel="1" collapsed="1">
      <c r="A2648" s="489" t="s">
        <v>1463</v>
      </c>
      <c r="B2648" s="490"/>
      <c r="C2648" s="398" t="s">
        <v>49</v>
      </c>
      <c r="D2648" s="399" t="s">
        <v>2094</v>
      </c>
      <c r="E2648" s="490" t="s">
        <v>3266</v>
      </c>
      <c r="F2648" s="385" t="s">
        <v>303</v>
      </c>
      <c r="G2648" s="385"/>
      <c r="H2648" s="401" t="s">
        <v>3267</v>
      </c>
      <c r="I2648" s="385" t="str">
        <f>CONCATENATE(I2649," ",N2649,M2649," ",I2650," ",N2650,M2650)</f>
        <v xml:space="preserve">Покраска дверей, оборудования 50м2  </v>
      </c>
      <c r="J2648" s="489" t="s">
        <v>365</v>
      </c>
      <c r="K2648" s="450">
        <v>44378</v>
      </c>
      <c r="L2648" s="450">
        <v>44408</v>
      </c>
      <c r="M2648" s="490"/>
      <c r="N2648" s="490"/>
    </row>
    <row r="2649" spans="1:14" hidden="1" outlineLevel="2">
      <c r="A2649" s="408"/>
      <c r="B2649" s="408"/>
      <c r="C2649" s="412" t="s">
        <v>49</v>
      </c>
      <c r="D2649" s="399" t="s">
        <v>2094</v>
      </c>
      <c r="E2649" s="408"/>
      <c r="F2649" s="385"/>
      <c r="G2649" s="408"/>
      <c r="H2649" s="408"/>
      <c r="I2649" s="385" t="s">
        <v>3261</v>
      </c>
      <c r="J2649" s="489"/>
      <c r="K2649" s="450"/>
      <c r="L2649" s="450"/>
      <c r="M2649" s="490" t="s">
        <v>313</v>
      </c>
      <c r="N2649" s="490">
        <v>50</v>
      </c>
    </row>
    <row r="2650" spans="1:14" hidden="1" outlineLevel="2">
      <c r="A2650" s="408"/>
      <c r="B2650" s="408"/>
      <c r="C2650" s="408"/>
      <c r="D2650" s="408"/>
      <c r="E2650" s="408"/>
      <c r="F2650" s="408"/>
      <c r="G2650" s="408"/>
      <c r="H2650" s="408"/>
      <c r="I2650" s="385"/>
      <c r="J2650" s="489"/>
      <c r="K2650" s="450"/>
      <c r="L2650" s="450"/>
      <c r="M2650" s="490"/>
      <c r="N2650" s="490"/>
    </row>
    <row r="2651" spans="1:14" s="384" customFormat="1" ht="40.5" outlineLevel="1" collapsed="1">
      <c r="A2651" s="489" t="s">
        <v>1464</v>
      </c>
      <c r="B2651" s="490"/>
      <c r="C2651" s="398" t="s">
        <v>49</v>
      </c>
      <c r="D2651" s="399" t="s">
        <v>2094</v>
      </c>
      <c r="E2651" s="490" t="s">
        <v>3268</v>
      </c>
      <c r="F2651" s="385" t="s">
        <v>303</v>
      </c>
      <c r="G2651" s="385"/>
      <c r="H2651" s="401" t="s">
        <v>3269</v>
      </c>
      <c r="I2651" s="385" t="str">
        <f>CONCATENATE(I2652," ",N2652,M2652," ",I2653," ",N2653,M2653," "," ",I2654," ",N2654,M2654)</f>
        <v xml:space="preserve">ремонт освещение 1шт. Покраска дверей, оборудования 50м2   </v>
      </c>
      <c r="J2651" s="489" t="s">
        <v>365</v>
      </c>
      <c r="K2651" s="450">
        <v>44348</v>
      </c>
      <c r="L2651" s="450">
        <v>44377</v>
      </c>
      <c r="M2651" s="490"/>
      <c r="N2651" s="490"/>
    </row>
    <row r="2652" spans="1:14" hidden="1" outlineLevel="2">
      <c r="A2652" s="408"/>
      <c r="B2652" s="408"/>
      <c r="C2652" s="412" t="s">
        <v>49</v>
      </c>
      <c r="D2652" s="399" t="s">
        <v>2094</v>
      </c>
      <c r="E2652" s="408"/>
      <c r="F2652" s="385"/>
      <c r="G2652" s="408"/>
      <c r="H2652" s="408"/>
      <c r="I2652" s="385" t="s">
        <v>3255</v>
      </c>
      <c r="J2652" s="489"/>
      <c r="K2652" s="450"/>
      <c r="L2652" s="450"/>
      <c r="M2652" s="490" t="s">
        <v>37</v>
      </c>
      <c r="N2652" s="490">
        <v>1</v>
      </c>
    </row>
    <row r="2653" spans="1:14" hidden="1" outlineLevel="2">
      <c r="A2653" s="408"/>
      <c r="B2653" s="408"/>
      <c r="C2653" s="408"/>
      <c r="D2653" s="408"/>
      <c r="E2653" s="408"/>
      <c r="F2653" s="408"/>
      <c r="G2653" s="408"/>
      <c r="H2653" s="408"/>
      <c r="I2653" s="385" t="s">
        <v>3261</v>
      </c>
      <c r="J2653" s="489"/>
      <c r="K2653" s="450"/>
      <c r="L2653" s="450"/>
      <c r="M2653" s="490" t="s">
        <v>313</v>
      </c>
      <c r="N2653" s="490">
        <v>50</v>
      </c>
    </row>
    <row r="2654" spans="1:14" hidden="1" outlineLevel="2">
      <c r="A2654" s="408"/>
      <c r="B2654" s="408"/>
      <c r="C2654" s="408"/>
      <c r="D2654" s="408"/>
      <c r="E2654" s="408"/>
      <c r="F2654" s="408"/>
      <c r="G2654" s="408"/>
      <c r="H2654" s="408"/>
      <c r="I2654" s="385"/>
      <c r="J2654" s="489"/>
      <c r="K2654" s="450"/>
      <c r="L2654" s="450"/>
      <c r="M2654" s="490"/>
      <c r="N2654" s="490"/>
    </row>
    <row r="2655" spans="1:14" s="384" customFormat="1" ht="83.25" customHeight="1" outlineLevel="1" collapsed="1">
      <c r="A2655" s="489" t="s">
        <v>1465</v>
      </c>
      <c r="B2655" s="490"/>
      <c r="C2655" s="398" t="s">
        <v>49</v>
      </c>
      <c r="D2655" s="399" t="s">
        <v>2094</v>
      </c>
      <c r="E2655" s="490" t="s">
        <v>3249</v>
      </c>
      <c r="F2655" s="385" t="s">
        <v>303</v>
      </c>
      <c r="G2655" s="385"/>
      <c r="H2655" s="401" t="s">
        <v>3270</v>
      </c>
      <c r="I2655" s="385" t="str">
        <f>CONCATENATE(I2656," ",N2656,M2656," ",I2657," ",N2657,M2657," "," ",I2658," ",N2658,M2658," ",I2659," ",N2659,M2659)</f>
        <v xml:space="preserve">Ремонт строительной части 1шт ремонт освещение 1шт.  Покраска дверей, оборудования 50м2  </v>
      </c>
      <c r="J2655" s="489" t="s">
        <v>365</v>
      </c>
      <c r="K2655" s="450">
        <v>44470</v>
      </c>
      <c r="L2655" s="450">
        <v>44500</v>
      </c>
      <c r="M2655" s="490"/>
      <c r="N2655" s="490"/>
    </row>
    <row r="2656" spans="1:14" hidden="1" outlineLevel="2">
      <c r="A2656" s="408"/>
      <c r="B2656" s="408"/>
      <c r="C2656" s="412" t="s">
        <v>49</v>
      </c>
      <c r="D2656" s="399" t="s">
        <v>2094</v>
      </c>
      <c r="E2656" s="408"/>
      <c r="F2656" s="385"/>
      <c r="G2656" s="408"/>
      <c r="H2656" s="408"/>
      <c r="I2656" s="385" t="s">
        <v>3250</v>
      </c>
      <c r="J2656" s="489"/>
      <c r="K2656" s="450"/>
      <c r="L2656" s="450"/>
      <c r="M2656" s="490" t="s">
        <v>813</v>
      </c>
      <c r="N2656" s="490">
        <v>1</v>
      </c>
    </row>
    <row r="2657" spans="1:14" hidden="1" outlineLevel="2">
      <c r="A2657" s="408"/>
      <c r="B2657" s="408"/>
      <c r="C2657" s="408"/>
      <c r="D2657" s="408"/>
      <c r="E2657" s="408"/>
      <c r="F2657" s="408"/>
      <c r="G2657" s="408"/>
      <c r="H2657" s="408"/>
      <c r="I2657" s="385" t="s">
        <v>3255</v>
      </c>
      <c r="J2657" s="489"/>
      <c r="K2657" s="450"/>
      <c r="L2657" s="450"/>
      <c r="M2657" s="490" t="s">
        <v>37</v>
      </c>
      <c r="N2657" s="490">
        <v>1</v>
      </c>
    </row>
    <row r="2658" spans="1:14" hidden="1" outlineLevel="2">
      <c r="A2658" s="408"/>
      <c r="B2658" s="408"/>
      <c r="C2658" s="408"/>
      <c r="D2658" s="408"/>
      <c r="E2658" s="408"/>
      <c r="F2658" s="408"/>
      <c r="G2658" s="408"/>
      <c r="H2658" s="408"/>
      <c r="I2658" s="385" t="s">
        <v>3261</v>
      </c>
      <c r="J2658" s="489"/>
      <c r="K2658" s="450"/>
      <c r="L2658" s="450"/>
      <c r="M2658" s="490" t="s">
        <v>313</v>
      </c>
      <c r="N2658" s="490">
        <v>50</v>
      </c>
    </row>
    <row r="2659" spans="1:14" hidden="1" outlineLevel="2">
      <c r="A2659" s="438"/>
      <c r="B2659" s="490"/>
      <c r="C2659" s="398"/>
      <c r="D2659" s="399"/>
      <c r="E2659" s="385"/>
      <c r="F2659" s="408"/>
      <c r="G2659" s="408"/>
      <c r="H2659" s="401"/>
      <c r="I2659" s="385"/>
      <c r="J2659" s="489"/>
      <c r="K2659" s="450"/>
      <c r="L2659" s="450"/>
      <c r="M2659" s="490"/>
      <c r="N2659" s="490"/>
    </row>
    <row r="2660" spans="1:14" s="384" customFormat="1" ht="78" customHeight="1" outlineLevel="1" collapsed="1">
      <c r="A2660" s="489" t="s">
        <v>1679</v>
      </c>
      <c r="B2660" s="490"/>
      <c r="C2660" s="398" t="s">
        <v>49</v>
      </c>
      <c r="D2660" s="399" t="s">
        <v>2094</v>
      </c>
      <c r="E2660" s="490" t="s">
        <v>3271</v>
      </c>
      <c r="F2660" s="385" t="s">
        <v>303</v>
      </c>
      <c r="G2660" s="385"/>
      <c r="H2660" s="401" t="s">
        <v>3272</v>
      </c>
      <c r="I2660" s="385" t="str">
        <f>CONCATENATE(I2661," ",N2661,M2661," ",I2662," ",N2662,M2662," "," ",I2663," ",N2663,M2663," ",I2664," ",N2664,M2664)</f>
        <v xml:space="preserve">Ремонт строительной части 1шт ремонт освещение 1шт.  Покраска дверей, оборудования 50м2  </v>
      </c>
      <c r="J2660" s="489" t="s">
        <v>365</v>
      </c>
      <c r="K2660" s="450">
        <v>44440</v>
      </c>
      <c r="L2660" s="450">
        <v>44469</v>
      </c>
      <c r="M2660" s="490"/>
      <c r="N2660" s="490"/>
    </row>
    <row r="2661" spans="1:14" ht="20.25" hidden="1" customHeight="1" outlineLevel="2">
      <c r="A2661" s="408"/>
      <c r="B2661" s="408"/>
      <c r="C2661" s="412" t="s">
        <v>49</v>
      </c>
      <c r="D2661" s="399" t="s">
        <v>2094</v>
      </c>
      <c r="E2661" s="408"/>
      <c r="F2661" s="385"/>
      <c r="G2661" s="408"/>
      <c r="H2661" s="408"/>
      <c r="I2661" s="385" t="s">
        <v>3250</v>
      </c>
      <c r="J2661" s="489"/>
      <c r="K2661" s="450"/>
      <c r="L2661" s="450"/>
      <c r="M2661" s="490" t="s">
        <v>813</v>
      </c>
      <c r="N2661" s="490">
        <v>1</v>
      </c>
    </row>
    <row r="2662" spans="1:14" hidden="1" outlineLevel="2">
      <c r="A2662" s="408"/>
      <c r="B2662" s="408"/>
      <c r="C2662" s="408"/>
      <c r="D2662" s="408"/>
      <c r="E2662" s="408"/>
      <c r="F2662" s="408"/>
      <c r="G2662" s="408"/>
      <c r="H2662" s="408"/>
      <c r="I2662" s="385" t="s">
        <v>3255</v>
      </c>
      <c r="J2662" s="489"/>
      <c r="K2662" s="450"/>
      <c r="L2662" s="450"/>
      <c r="M2662" s="490" t="s">
        <v>37</v>
      </c>
      <c r="N2662" s="490">
        <v>1</v>
      </c>
    </row>
    <row r="2663" spans="1:14" hidden="1" outlineLevel="2">
      <c r="A2663" s="408"/>
      <c r="B2663" s="408"/>
      <c r="C2663" s="408"/>
      <c r="D2663" s="408"/>
      <c r="E2663" s="408"/>
      <c r="F2663" s="408"/>
      <c r="G2663" s="408"/>
      <c r="H2663" s="408"/>
      <c r="I2663" s="385" t="s">
        <v>3261</v>
      </c>
      <c r="J2663" s="489"/>
      <c r="K2663" s="450"/>
      <c r="L2663" s="450"/>
      <c r="M2663" s="490" t="s">
        <v>313</v>
      </c>
      <c r="N2663" s="490">
        <v>50</v>
      </c>
    </row>
    <row r="2664" spans="1:14" hidden="1" outlineLevel="2">
      <c r="A2664" s="438"/>
      <c r="B2664" s="490"/>
      <c r="C2664" s="398"/>
      <c r="D2664" s="399"/>
      <c r="E2664" s="385"/>
      <c r="F2664" s="408"/>
      <c r="G2664" s="408"/>
      <c r="H2664" s="401"/>
      <c r="I2664" s="385"/>
      <c r="J2664" s="489"/>
      <c r="K2664" s="450"/>
      <c r="L2664" s="450"/>
      <c r="M2664" s="490"/>
      <c r="N2664" s="490"/>
    </row>
    <row r="2665" spans="1:14" s="384" customFormat="1" ht="63.75" customHeight="1" outlineLevel="1" collapsed="1">
      <c r="A2665" s="489" t="s">
        <v>1770</v>
      </c>
      <c r="B2665" s="490"/>
      <c r="C2665" s="398" t="s">
        <v>49</v>
      </c>
      <c r="D2665" s="399" t="s">
        <v>2094</v>
      </c>
      <c r="E2665" s="490" t="s">
        <v>2986</v>
      </c>
      <c r="F2665" s="385" t="s">
        <v>303</v>
      </c>
      <c r="G2665" s="385"/>
      <c r="H2665" s="401" t="s">
        <v>2985</v>
      </c>
      <c r="I2665" s="385" t="str">
        <f>CONCATENATE(I2666," ",N2666,M2666," ",I2667," ",N2667,M2667)</f>
        <v xml:space="preserve">Монтаж ограждения МТП 23,4м2.  </v>
      </c>
      <c r="J2665" s="489" t="s">
        <v>365</v>
      </c>
      <c r="K2665" s="450">
        <v>44409</v>
      </c>
      <c r="L2665" s="450">
        <v>44439</v>
      </c>
      <c r="M2665" s="490"/>
      <c r="N2665" s="490"/>
    </row>
    <row r="2666" spans="1:14" hidden="1" outlineLevel="2">
      <c r="A2666" s="408"/>
      <c r="B2666" s="408"/>
      <c r="C2666" s="412" t="s">
        <v>49</v>
      </c>
      <c r="D2666" s="399" t="s">
        <v>2094</v>
      </c>
      <c r="E2666" s="408"/>
      <c r="F2666" s="385"/>
      <c r="G2666" s="408"/>
      <c r="H2666" s="408"/>
      <c r="I2666" s="385" t="s">
        <v>3273</v>
      </c>
      <c r="J2666" s="489"/>
      <c r="K2666" s="450"/>
      <c r="L2666" s="450"/>
      <c r="M2666" s="490" t="s">
        <v>3257</v>
      </c>
      <c r="N2666" s="490">
        <v>23.4</v>
      </c>
    </row>
    <row r="2667" spans="1:14" hidden="1" outlineLevel="2">
      <c r="A2667" s="408"/>
      <c r="B2667" s="408"/>
      <c r="C2667" s="408"/>
      <c r="D2667" s="408"/>
      <c r="E2667" s="408"/>
      <c r="F2667" s="408"/>
      <c r="G2667" s="408"/>
      <c r="H2667" s="408"/>
      <c r="I2667" s="385"/>
      <c r="J2667" s="489"/>
      <c r="K2667" s="450"/>
      <c r="L2667" s="450"/>
      <c r="M2667" s="490"/>
      <c r="N2667" s="490"/>
    </row>
    <row r="2668" spans="1:14" s="384" customFormat="1" ht="74.25" customHeight="1" outlineLevel="1" collapsed="1">
      <c r="A2668" s="489" t="s">
        <v>1466</v>
      </c>
      <c r="B2668" s="490"/>
      <c r="C2668" s="398" t="s">
        <v>49</v>
      </c>
      <c r="D2668" s="399" t="s">
        <v>2094</v>
      </c>
      <c r="E2668" s="490" t="s">
        <v>3274</v>
      </c>
      <c r="F2668" s="385" t="s">
        <v>303</v>
      </c>
      <c r="G2668" s="385"/>
      <c r="H2668" s="401" t="s">
        <v>3275</v>
      </c>
      <c r="I2668" s="385" t="str">
        <f>CONCATENATE(I2669," ",N2669,M2669," ")</f>
        <v xml:space="preserve">ремонт освещение 1шт. </v>
      </c>
      <c r="J2668" s="489" t="s">
        <v>365</v>
      </c>
      <c r="K2668" s="450">
        <v>44317</v>
      </c>
      <c r="L2668" s="450">
        <v>44347</v>
      </c>
      <c r="M2668" s="490"/>
      <c r="N2668" s="490"/>
    </row>
    <row r="2669" spans="1:14" ht="30.75" hidden="1" customHeight="1" outlineLevel="2">
      <c r="A2669" s="408"/>
      <c r="B2669" s="408"/>
      <c r="C2669" s="412" t="s">
        <v>49</v>
      </c>
      <c r="D2669" s="399" t="s">
        <v>2094</v>
      </c>
      <c r="E2669" s="408"/>
      <c r="F2669" s="385"/>
      <c r="G2669" s="408"/>
      <c r="H2669" s="408"/>
      <c r="I2669" s="385" t="s">
        <v>3255</v>
      </c>
      <c r="J2669" s="489"/>
      <c r="K2669" s="450"/>
      <c r="L2669" s="450"/>
      <c r="M2669" s="490" t="s">
        <v>37</v>
      </c>
      <c r="N2669" s="490">
        <v>1</v>
      </c>
    </row>
    <row r="2670" spans="1:14" s="384" customFormat="1" ht="79.5" customHeight="1" outlineLevel="1" collapsed="1">
      <c r="A2670" s="489" t="s">
        <v>1680</v>
      </c>
      <c r="B2670" s="490"/>
      <c r="C2670" s="398" t="s">
        <v>2315</v>
      </c>
      <c r="D2670" s="399" t="s">
        <v>2094</v>
      </c>
      <c r="E2670" s="490" t="s">
        <v>3276</v>
      </c>
      <c r="F2670" s="385" t="s">
        <v>303</v>
      </c>
      <c r="G2670" s="385"/>
      <c r="H2670" s="401" t="s">
        <v>2633</v>
      </c>
      <c r="I2670" s="385" t="str">
        <f>CONCATENATE(I2671," ",N2671,M2671," ",)</f>
        <v xml:space="preserve">Ремонт освещения 1шт </v>
      </c>
      <c r="J2670" s="489" t="s">
        <v>365</v>
      </c>
      <c r="K2670" s="450">
        <v>44317</v>
      </c>
      <c r="L2670" s="450">
        <v>44347</v>
      </c>
      <c r="M2670" s="490"/>
      <c r="N2670" s="490"/>
    </row>
    <row r="2671" spans="1:14" hidden="1" outlineLevel="2">
      <c r="A2671" s="408"/>
      <c r="B2671" s="408"/>
      <c r="C2671" s="408"/>
      <c r="D2671" s="408"/>
      <c r="E2671" s="408"/>
      <c r="F2671" s="385"/>
      <c r="G2671" s="408"/>
      <c r="H2671" s="408"/>
      <c r="I2671" s="385" t="s">
        <v>726</v>
      </c>
      <c r="J2671" s="489"/>
      <c r="K2671" s="450"/>
      <c r="L2671" s="450"/>
      <c r="M2671" s="490" t="s">
        <v>813</v>
      </c>
      <c r="N2671" s="490">
        <v>1</v>
      </c>
    </row>
    <row r="2672" spans="1:14" s="384" customFormat="1" ht="70.5" customHeight="1" outlineLevel="1" collapsed="1">
      <c r="A2672" s="489" t="s">
        <v>1467</v>
      </c>
      <c r="B2672" s="490"/>
      <c r="C2672" s="398" t="s">
        <v>2315</v>
      </c>
      <c r="D2672" s="399" t="s">
        <v>2094</v>
      </c>
      <c r="E2672" s="490" t="s">
        <v>3277</v>
      </c>
      <c r="F2672" s="385" t="s">
        <v>303</v>
      </c>
      <c r="G2672" s="385"/>
      <c r="H2672" s="401" t="s">
        <v>3278</v>
      </c>
      <c r="I2672" s="385" t="str">
        <f>CONCATENATE(I2673," ",N2673,M2673,"")</f>
        <v>Ремонт освещения 1шт</v>
      </c>
      <c r="J2672" s="489" t="s">
        <v>365</v>
      </c>
      <c r="K2672" s="450">
        <v>44348</v>
      </c>
      <c r="L2672" s="450">
        <v>44377</v>
      </c>
      <c r="M2672" s="490"/>
      <c r="N2672" s="490"/>
    </row>
    <row r="2673" spans="1:14" hidden="1" outlineLevel="2">
      <c r="A2673" s="438"/>
      <c r="B2673" s="490"/>
      <c r="C2673" s="408"/>
      <c r="D2673" s="399"/>
      <c r="E2673" s="385"/>
      <c r="F2673" s="408"/>
      <c r="G2673" s="385"/>
      <c r="H2673" s="401"/>
      <c r="I2673" s="385" t="s">
        <v>726</v>
      </c>
      <c r="J2673" s="489"/>
      <c r="K2673" s="450"/>
      <c r="L2673" s="450"/>
      <c r="M2673" s="490" t="s">
        <v>813</v>
      </c>
      <c r="N2673" s="490">
        <v>1</v>
      </c>
    </row>
    <row r="2674" spans="1:14" s="384" customFormat="1" ht="60.75" outlineLevel="1" collapsed="1">
      <c r="A2674" s="489" t="s">
        <v>1468</v>
      </c>
      <c r="B2674" s="490"/>
      <c r="C2674" s="398"/>
      <c r="D2674" s="399" t="s">
        <v>2094</v>
      </c>
      <c r="E2674" s="490" t="s">
        <v>3279</v>
      </c>
      <c r="F2674" s="385" t="s">
        <v>3280</v>
      </c>
      <c r="G2674" s="459" t="s">
        <v>3281</v>
      </c>
      <c r="H2674" s="401" t="s">
        <v>3282</v>
      </c>
      <c r="I2674" s="385" t="str">
        <f>CONCATENATE(I2675," ", N2675,M2675,  I2676,"  ",N2676, M2676,  I2677," ",N2677,M2677,)</f>
        <v xml:space="preserve"> Ремонт стен  30м2ремонт полов 145м2ремонт отмостки 57м2ремонт фундаментов  16м2 </v>
      </c>
      <c r="J2674" s="489" t="s">
        <v>365</v>
      </c>
      <c r="K2674" s="450">
        <v>44348</v>
      </c>
      <c r="L2674" s="450">
        <v>44408</v>
      </c>
      <c r="M2674" s="490"/>
      <c r="N2674" s="490"/>
    </row>
    <row r="2675" spans="1:14" hidden="1" outlineLevel="2">
      <c r="A2675" s="438"/>
      <c r="B2675" s="408"/>
      <c r="C2675" s="392"/>
      <c r="D2675" s="399"/>
      <c r="E2675" s="385"/>
      <c r="F2675" s="408"/>
      <c r="G2675" s="385"/>
      <c r="H2675" s="401"/>
      <c r="I2675" s="385"/>
      <c r="J2675" s="489"/>
      <c r="K2675" s="450"/>
      <c r="L2675" s="450"/>
      <c r="M2675" s="490"/>
      <c r="N2675" s="490"/>
    </row>
    <row r="2676" spans="1:14" hidden="1" outlineLevel="2">
      <c r="A2676" s="438"/>
      <c r="B2676" s="408"/>
      <c r="C2676" s="392"/>
      <c r="D2676" s="399"/>
      <c r="E2676" s="385"/>
      <c r="F2676" s="408"/>
      <c r="G2676" s="385"/>
      <c r="H2676" s="401"/>
      <c r="I2676" s="385" t="s">
        <v>3231</v>
      </c>
      <c r="J2676" s="489"/>
      <c r="K2676" s="450"/>
      <c r="L2676" s="450"/>
      <c r="M2676" s="490" t="s">
        <v>313</v>
      </c>
      <c r="N2676" s="490">
        <v>30</v>
      </c>
    </row>
    <row r="2677" spans="1:14" s="384" customFormat="1" ht="60.75" outlineLevel="1" collapsed="1">
      <c r="A2677" s="489" t="s">
        <v>1469</v>
      </c>
      <c r="B2677" s="490"/>
      <c r="C2677" s="398"/>
      <c r="D2677" s="399" t="s">
        <v>2094</v>
      </c>
      <c r="E2677" s="490" t="s">
        <v>3748</v>
      </c>
      <c r="F2677" s="385" t="s">
        <v>3280</v>
      </c>
      <c r="G2677" s="459" t="s">
        <v>3281</v>
      </c>
      <c r="H2677" s="401" t="s">
        <v>3749</v>
      </c>
      <c r="I2677" s="385" t="str">
        <f>CONCATENATE(I2678," ", N2678,M2678, I2679," ", N2679,M2679,  I2680,"  ",N2680, M2680,  )</f>
        <v>ремонт полов 145м2ремонт отмостки 57м2ремонт фундаментов  16м2</v>
      </c>
      <c r="J2677" s="489" t="s">
        <v>365</v>
      </c>
      <c r="K2677" s="450">
        <v>44378</v>
      </c>
      <c r="L2677" s="450">
        <v>44439</v>
      </c>
      <c r="M2677" s="490"/>
      <c r="N2677" s="490"/>
    </row>
    <row r="2678" spans="1:14" hidden="1" outlineLevel="2">
      <c r="A2678" s="438"/>
      <c r="B2678" s="408"/>
      <c r="C2678" s="392"/>
      <c r="D2678" s="399"/>
      <c r="E2678" s="385"/>
      <c r="F2678" s="408"/>
      <c r="G2678" s="385"/>
      <c r="H2678" s="401"/>
      <c r="I2678" s="385" t="s">
        <v>3750</v>
      </c>
      <c r="J2678" s="489"/>
      <c r="K2678" s="450"/>
      <c r="L2678" s="450"/>
      <c r="M2678" s="490" t="s">
        <v>313</v>
      </c>
      <c r="N2678" s="490">
        <v>145</v>
      </c>
    </row>
    <row r="2679" spans="1:14" hidden="1" outlineLevel="2">
      <c r="A2679" s="438"/>
      <c r="B2679" s="408"/>
      <c r="C2679" s="392"/>
      <c r="D2679" s="399"/>
      <c r="E2679" s="385"/>
      <c r="F2679" s="408"/>
      <c r="G2679" s="385"/>
      <c r="H2679" s="401"/>
      <c r="I2679" s="385" t="s">
        <v>3751</v>
      </c>
      <c r="J2679" s="489"/>
      <c r="K2679" s="450"/>
      <c r="L2679" s="450"/>
      <c r="M2679" s="490" t="s">
        <v>313</v>
      </c>
      <c r="N2679" s="490">
        <v>57</v>
      </c>
    </row>
    <row r="2680" spans="1:14" hidden="1" outlineLevel="2">
      <c r="A2680" s="438"/>
      <c r="B2680" s="408"/>
      <c r="C2680" s="392"/>
      <c r="D2680" s="399"/>
      <c r="E2680" s="385"/>
      <c r="F2680" s="408"/>
      <c r="G2680" s="385"/>
      <c r="H2680" s="401"/>
      <c r="I2680" s="385" t="s">
        <v>3752</v>
      </c>
      <c r="J2680" s="489"/>
      <c r="K2680" s="450"/>
      <c r="L2680" s="450"/>
      <c r="M2680" s="490" t="s">
        <v>313</v>
      </c>
      <c r="N2680" s="490">
        <v>16</v>
      </c>
    </row>
    <row r="2681" spans="1:14" ht="60.75" collapsed="1">
      <c r="A2681" s="438" t="s">
        <v>339</v>
      </c>
      <c r="B2681" s="490"/>
      <c r="C2681" s="414"/>
      <c r="D2681" s="490"/>
      <c r="E2681" s="490"/>
      <c r="F2681" s="385"/>
      <c r="G2681" s="385"/>
      <c r="H2681" s="539" t="s">
        <v>338</v>
      </c>
      <c r="I2681" s="385"/>
      <c r="J2681" s="489"/>
      <c r="K2681" s="450"/>
      <c r="L2681" s="450"/>
      <c r="M2681" s="389"/>
      <c r="N2681" s="389"/>
    </row>
    <row r="2682" spans="1:14" hidden="1" outlineLevel="2">
      <c r="A2682" s="408"/>
      <c r="B2682" s="408"/>
      <c r="C2682" s="459"/>
      <c r="D2682" s="459"/>
      <c r="E2682" s="408"/>
      <c r="F2682" s="408"/>
      <c r="G2682" s="408"/>
      <c r="H2682" s="408"/>
      <c r="I2682" s="385"/>
      <c r="J2682" s="489"/>
      <c r="K2682" s="450"/>
      <c r="L2682" s="450"/>
      <c r="M2682" s="490"/>
      <c r="N2682" s="490"/>
    </row>
    <row r="2683" spans="1:14" outlineLevel="1">
      <c r="A2683" s="412" t="s">
        <v>371</v>
      </c>
      <c r="B2683" s="490"/>
      <c r="C2683" s="398"/>
      <c r="D2683" s="399"/>
      <c r="E2683" s="385"/>
      <c r="F2683" s="400"/>
      <c r="G2683" s="385"/>
      <c r="H2683" s="561" t="s">
        <v>346</v>
      </c>
      <c r="I2683" s="385"/>
      <c r="J2683" s="489"/>
      <c r="K2683" s="450"/>
      <c r="L2683" s="450"/>
      <c r="M2683" s="507"/>
      <c r="N2683" s="507"/>
    </row>
    <row r="2684" spans="1:14" s="384" customFormat="1" ht="60.75" outlineLevel="1" collapsed="1">
      <c r="A2684" s="402" t="s">
        <v>1774</v>
      </c>
      <c r="B2684" s="459" t="s">
        <v>300</v>
      </c>
      <c r="C2684" s="459" t="s">
        <v>2607</v>
      </c>
      <c r="D2684" s="459" t="s">
        <v>1830</v>
      </c>
      <c r="E2684" s="459" t="s">
        <v>3652</v>
      </c>
      <c r="F2684" s="541" t="s">
        <v>303</v>
      </c>
      <c r="G2684" s="459"/>
      <c r="H2684" s="555" t="s">
        <v>2785</v>
      </c>
      <c r="I2684" s="459" t="str">
        <f>CONCATENATE(I2685," ","(",H2685,")","-",N2685," ",M2685," ",)</f>
        <v xml:space="preserve">Восстановление АПВ  (яч 7, 20, 22)-3 шт. </v>
      </c>
      <c r="J2684" s="529" t="s">
        <v>365</v>
      </c>
      <c r="K2684" s="474">
        <v>44440</v>
      </c>
      <c r="L2684" s="474">
        <v>44469</v>
      </c>
      <c r="M2684" s="530"/>
      <c r="N2684" s="530"/>
    </row>
    <row r="2685" spans="1:14" hidden="1" outlineLevel="2">
      <c r="A2685" s="408"/>
      <c r="B2685" s="408"/>
      <c r="C2685" s="459" t="s">
        <v>2607</v>
      </c>
      <c r="D2685" s="459" t="s">
        <v>1830</v>
      </c>
      <c r="E2685" s="408"/>
      <c r="F2685" s="541"/>
      <c r="G2685" s="408"/>
      <c r="H2685" s="408" t="s">
        <v>3653</v>
      </c>
      <c r="I2685" s="459" t="s">
        <v>3654</v>
      </c>
      <c r="J2685" s="489"/>
      <c r="K2685" s="450"/>
      <c r="L2685" s="450"/>
      <c r="M2685" s="490" t="s">
        <v>37</v>
      </c>
      <c r="N2685" s="490">
        <v>3</v>
      </c>
    </row>
    <row r="2686" spans="1:14" s="384" customFormat="1" ht="40.5" outlineLevel="1" collapsed="1">
      <c r="A2686" s="402" t="s">
        <v>1775</v>
      </c>
      <c r="B2686" s="459" t="s">
        <v>300</v>
      </c>
      <c r="C2686" s="459" t="s">
        <v>2607</v>
      </c>
      <c r="D2686" s="459" t="s">
        <v>1830</v>
      </c>
      <c r="E2686" s="459" t="s">
        <v>3655</v>
      </c>
      <c r="F2686" s="541" t="s">
        <v>303</v>
      </c>
      <c r="G2686" s="459"/>
      <c r="H2686" s="555" t="s">
        <v>3656</v>
      </c>
      <c r="I2686" s="459" t="str">
        <f>CONCATENATE(I2687," ","(",H2687,")","-",N2687," ",M2687," ",)</f>
        <v xml:space="preserve">Восстановление АПВ  (яч 24)-1 шт. </v>
      </c>
      <c r="J2686" s="529" t="s">
        <v>365</v>
      </c>
      <c r="K2686" s="474">
        <v>44440</v>
      </c>
      <c r="L2686" s="474">
        <v>44469</v>
      </c>
      <c r="M2686" s="530"/>
      <c r="N2686" s="530"/>
    </row>
    <row r="2687" spans="1:14" hidden="1" outlineLevel="2">
      <c r="A2687" s="408"/>
      <c r="B2687" s="408"/>
      <c r="C2687" s="459" t="s">
        <v>2607</v>
      </c>
      <c r="D2687" s="459" t="s">
        <v>1830</v>
      </c>
      <c r="E2687" s="408"/>
      <c r="F2687" s="408"/>
      <c r="G2687" s="408"/>
      <c r="H2687" s="408" t="s">
        <v>3657</v>
      </c>
      <c r="I2687" s="385" t="s">
        <v>3654</v>
      </c>
      <c r="J2687" s="489"/>
      <c r="K2687" s="450"/>
      <c r="L2687" s="450"/>
      <c r="M2687" s="490" t="s">
        <v>37</v>
      </c>
      <c r="N2687" s="490">
        <v>1</v>
      </c>
    </row>
    <row r="2688" spans="1:14" s="384" customFormat="1" ht="81" outlineLevel="1" collapsed="1">
      <c r="A2688" s="402" t="s">
        <v>1776</v>
      </c>
      <c r="B2688" s="459" t="s">
        <v>300</v>
      </c>
      <c r="C2688" s="459" t="s">
        <v>2126</v>
      </c>
      <c r="D2688" s="459" t="s">
        <v>1830</v>
      </c>
      <c r="E2688" s="459" t="s">
        <v>3658</v>
      </c>
      <c r="F2688" s="541" t="s">
        <v>303</v>
      </c>
      <c r="G2688" s="459"/>
      <c r="H2688" s="555" t="s">
        <v>2750</v>
      </c>
      <c r="I2688" s="459" t="str">
        <f>CONCATENATE(I2689," ","(",H2689,")","-",N2689," ",M2689," ",)</f>
        <v xml:space="preserve">Восстановление АПВ  (яч 7, 10, 12, 15)-4 шт. </v>
      </c>
      <c r="J2688" s="529" t="s">
        <v>365</v>
      </c>
      <c r="K2688" s="474">
        <v>44440</v>
      </c>
      <c r="L2688" s="474">
        <v>44469</v>
      </c>
      <c r="M2688" s="530"/>
      <c r="N2688" s="530"/>
    </row>
    <row r="2689" spans="1:14" hidden="1" outlineLevel="2">
      <c r="A2689" s="408"/>
      <c r="B2689" s="408"/>
      <c r="C2689" s="459" t="s">
        <v>2126</v>
      </c>
      <c r="D2689" s="459" t="s">
        <v>1830</v>
      </c>
      <c r="E2689" s="408"/>
      <c r="F2689" s="408"/>
      <c r="G2689" s="408"/>
      <c r="H2689" s="408" t="s">
        <v>3659</v>
      </c>
      <c r="I2689" s="385" t="s">
        <v>3654</v>
      </c>
      <c r="J2689" s="489"/>
      <c r="K2689" s="450"/>
      <c r="L2689" s="450"/>
      <c r="M2689" s="490" t="s">
        <v>37</v>
      </c>
      <c r="N2689" s="490">
        <v>4</v>
      </c>
    </row>
    <row r="2690" spans="1:14" s="384" customFormat="1" ht="40.5" outlineLevel="1" collapsed="1">
      <c r="A2690" s="402" t="s">
        <v>1777</v>
      </c>
      <c r="B2690" s="459" t="s">
        <v>237</v>
      </c>
      <c r="C2690" s="459" t="s">
        <v>2607</v>
      </c>
      <c r="D2690" s="459" t="s">
        <v>1830</v>
      </c>
      <c r="E2690" s="459" t="s">
        <v>3660</v>
      </c>
      <c r="F2690" s="541" t="s">
        <v>303</v>
      </c>
      <c r="G2690" s="459"/>
      <c r="H2690" s="555" t="s">
        <v>2624</v>
      </c>
      <c r="I2690" s="459" t="str">
        <f>CONCATENATE(I2691," ","(",H2691,")","-",N2691," ",M2691," ",)</f>
        <v xml:space="preserve">Восстановление АПВ  ( яч 20 )-1 шт. </v>
      </c>
      <c r="J2690" s="529" t="s">
        <v>365</v>
      </c>
      <c r="K2690" s="474">
        <v>44440</v>
      </c>
      <c r="L2690" s="474">
        <v>44469</v>
      </c>
      <c r="M2690" s="530"/>
      <c r="N2690" s="530"/>
    </row>
    <row r="2691" spans="1:14" hidden="1" outlineLevel="2">
      <c r="A2691" s="408"/>
      <c r="B2691" s="408"/>
      <c r="C2691" s="459" t="s">
        <v>2607</v>
      </c>
      <c r="D2691" s="459" t="s">
        <v>1830</v>
      </c>
      <c r="E2691" s="408"/>
      <c r="F2691" s="408"/>
      <c r="G2691" s="408"/>
      <c r="H2691" s="408" t="s">
        <v>3661</v>
      </c>
      <c r="I2691" s="385" t="s">
        <v>3654</v>
      </c>
      <c r="J2691" s="489"/>
      <c r="K2691" s="450"/>
      <c r="L2691" s="450"/>
      <c r="M2691" s="490" t="s">
        <v>37</v>
      </c>
      <c r="N2691" s="490">
        <v>1</v>
      </c>
    </row>
    <row r="2692" spans="1:14" s="384" customFormat="1" ht="60.75" outlineLevel="1" collapsed="1">
      <c r="A2692" s="402" t="s">
        <v>1778</v>
      </c>
      <c r="B2692" s="459" t="s">
        <v>237</v>
      </c>
      <c r="C2692" s="459" t="s">
        <v>2518</v>
      </c>
      <c r="D2692" s="459" t="s">
        <v>1830</v>
      </c>
      <c r="E2692" s="459" t="s">
        <v>3662</v>
      </c>
      <c r="F2692" s="541" t="s">
        <v>303</v>
      </c>
      <c r="G2692" s="459"/>
      <c r="H2692" s="555" t="s">
        <v>2519</v>
      </c>
      <c r="I2692" s="459" t="str">
        <f>CONCATENATE(I2693," ","(",H2693,")","-",N2693," ",M2693," ",)</f>
        <v xml:space="preserve">Восстановление АПВ  (яч 10, 13, 18)-3 шт. </v>
      </c>
      <c r="J2692" s="529" t="s">
        <v>365</v>
      </c>
      <c r="K2692" s="474">
        <v>44440</v>
      </c>
      <c r="L2692" s="474">
        <v>44469</v>
      </c>
      <c r="M2692" s="530"/>
      <c r="N2692" s="530"/>
    </row>
    <row r="2693" spans="1:14" ht="60.75" hidden="1" outlineLevel="2">
      <c r="A2693" s="408"/>
      <c r="B2693" s="408"/>
      <c r="C2693" s="459" t="s">
        <v>2518</v>
      </c>
      <c r="D2693" s="459" t="s">
        <v>1830</v>
      </c>
      <c r="E2693" s="408"/>
      <c r="F2693" s="408"/>
      <c r="G2693" s="408"/>
      <c r="H2693" s="408" t="s">
        <v>3663</v>
      </c>
      <c r="I2693" s="385" t="s">
        <v>3654</v>
      </c>
      <c r="J2693" s="489"/>
      <c r="K2693" s="450"/>
      <c r="L2693" s="450"/>
      <c r="M2693" s="490" t="s">
        <v>37</v>
      </c>
      <c r="N2693" s="490">
        <v>3</v>
      </c>
    </row>
    <row r="2694" spans="1:14" s="384" customFormat="1" ht="40.5" outlineLevel="1" collapsed="1">
      <c r="A2694" s="402" t="s">
        <v>1779</v>
      </c>
      <c r="B2694" s="459" t="s">
        <v>300</v>
      </c>
      <c r="C2694" s="459" t="s">
        <v>1989</v>
      </c>
      <c r="D2694" s="459" t="s">
        <v>1830</v>
      </c>
      <c r="E2694" s="459" t="s">
        <v>2727</v>
      </c>
      <c r="F2694" s="541" t="s">
        <v>303</v>
      </c>
      <c r="G2694" s="459"/>
      <c r="H2694" s="555" t="s">
        <v>2724</v>
      </c>
      <c r="I2694" s="459" t="str">
        <f>CONCATENATE(I2695," ","(",H2695,")","-",N2695," ",M2695," ",)</f>
        <v xml:space="preserve">Восстановление АПВ  (яч 6, 7, 11, 12, 15, 16, 19, 33, 34)-9 шт. </v>
      </c>
      <c r="J2694" s="529" t="s">
        <v>365</v>
      </c>
      <c r="K2694" s="474">
        <v>44501</v>
      </c>
      <c r="L2694" s="474">
        <v>44530</v>
      </c>
      <c r="M2694" s="530"/>
      <c r="N2694" s="530"/>
    </row>
    <row r="2695" spans="1:14" hidden="1" outlineLevel="2">
      <c r="A2695" s="408"/>
      <c r="B2695" s="408"/>
      <c r="C2695" s="459" t="s">
        <v>1989</v>
      </c>
      <c r="D2695" s="459" t="s">
        <v>1830</v>
      </c>
      <c r="E2695" s="408"/>
      <c r="F2695" s="408"/>
      <c r="G2695" s="408"/>
      <c r="H2695" s="408" t="s">
        <v>3664</v>
      </c>
      <c r="I2695" s="385" t="s">
        <v>3654</v>
      </c>
      <c r="J2695" s="489"/>
      <c r="K2695" s="450"/>
      <c r="L2695" s="450"/>
      <c r="M2695" s="490" t="s">
        <v>37</v>
      </c>
      <c r="N2695" s="490">
        <v>9</v>
      </c>
    </row>
    <row r="2696" spans="1:14" s="384" customFormat="1" ht="40.5" outlineLevel="1" collapsed="1">
      <c r="A2696" s="402" t="s">
        <v>1780</v>
      </c>
      <c r="B2696" s="459" t="s">
        <v>237</v>
      </c>
      <c r="C2696" s="459" t="s">
        <v>2168</v>
      </c>
      <c r="D2696" s="459" t="s">
        <v>1830</v>
      </c>
      <c r="E2696" s="459" t="s">
        <v>3665</v>
      </c>
      <c r="F2696" s="541" t="s">
        <v>303</v>
      </c>
      <c r="G2696" s="459"/>
      <c r="H2696" s="555" t="s">
        <v>2514</v>
      </c>
      <c r="I2696" s="459" t="str">
        <f>CONCATENATE(I2697," ","(",H2697,")","-",N2697," ",M2697," ",)</f>
        <v xml:space="preserve">Оснащение дуговых защит схемами контроля по току и контроля по напряжению 3U0  ()-1 шт. </v>
      </c>
      <c r="J2696" s="529" t="s">
        <v>365</v>
      </c>
      <c r="K2696" s="474">
        <v>44501</v>
      </c>
      <c r="L2696" s="474" t="s">
        <v>3666</v>
      </c>
      <c r="M2696" s="530"/>
      <c r="N2696" s="530"/>
    </row>
    <row r="2697" spans="1:14" ht="40.5" hidden="1" outlineLevel="2">
      <c r="A2697" s="408"/>
      <c r="B2697" s="408"/>
      <c r="C2697" s="459" t="s">
        <v>2168</v>
      </c>
      <c r="D2697" s="459" t="s">
        <v>1830</v>
      </c>
      <c r="E2697" s="408"/>
      <c r="F2697" s="408"/>
      <c r="G2697" s="408"/>
      <c r="H2697" s="408"/>
      <c r="I2697" s="385" t="s">
        <v>3667</v>
      </c>
      <c r="J2697" s="489"/>
      <c r="K2697" s="450"/>
      <c r="L2697" s="450"/>
      <c r="M2697" s="490" t="s">
        <v>37</v>
      </c>
      <c r="N2697" s="490">
        <v>1</v>
      </c>
    </row>
    <row r="2698" spans="1:14" s="384" customFormat="1" ht="40.5" customHeight="1" outlineLevel="1" collapsed="1">
      <c r="A2698" s="402" t="s">
        <v>1781</v>
      </c>
      <c r="B2698" s="459" t="s">
        <v>237</v>
      </c>
      <c r="C2698" s="459" t="s">
        <v>2607</v>
      </c>
      <c r="D2698" s="459" t="s">
        <v>1830</v>
      </c>
      <c r="E2698" s="459" t="s">
        <v>3668</v>
      </c>
      <c r="F2698" s="541" t="s">
        <v>303</v>
      </c>
      <c r="G2698" s="459"/>
      <c r="H2698" s="555" t="s">
        <v>3669</v>
      </c>
      <c r="I2698" s="459" t="str">
        <f>CONCATENATE(I2699," ","(",H2699,")","-",N2699," ",M2699," ",)</f>
        <v xml:space="preserve">Оснащение дуговых защит схемами контроля по току и контроля по напряжению 3U0  ()-1 шт. </v>
      </c>
      <c r="J2698" s="529" t="s">
        <v>365</v>
      </c>
      <c r="K2698" s="474">
        <v>44501</v>
      </c>
      <c r="L2698" s="474" t="s">
        <v>3666</v>
      </c>
      <c r="M2698" s="530"/>
      <c r="N2698" s="530"/>
    </row>
    <row r="2699" spans="1:14" ht="40.5" hidden="1" outlineLevel="2">
      <c r="A2699" s="408"/>
      <c r="B2699" s="408"/>
      <c r="C2699" s="459" t="s">
        <v>2607</v>
      </c>
      <c r="D2699" s="459" t="s">
        <v>1830</v>
      </c>
      <c r="E2699" s="408"/>
      <c r="F2699" s="408"/>
      <c r="G2699" s="408"/>
      <c r="H2699" s="408"/>
      <c r="I2699" s="385" t="s">
        <v>3667</v>
      </c>
      <c r="J2699" s="489"/>
      <c r="K2699" s="450"/>
      <c r="L2699" s="450"/>
      <c r="M2699" s="490" t="s">
        <v>37</v>
      </c>
      <c r="N2699" s="490">
        <v>1</v>
      </c>
    </row>
    <row r="2700" spans="1:14" s="384" customFormat="1" ht="40.5" outlineLevel="1" collapsed="1">
      <c r="A2700" s="402" t="s">
        <v>1782</v>
      </c>
      <c r="B2700" s="459" t="s">
        <v>237</v>
      </c>
      <c r="C2700" s="459" t="s">
        <v>2607</v>
      </c>
      <c r="D2700" s="459" t="s">
        <v>1830</v>
      </c>
      <c r="E2700" s="459" t="s">
        <v>3670</v>
      </c>
      <c r="F2700" s="541" t="s">
        <v>303</v>
      </c>
      <c r="G2700" s="459"/>
      <c r="H2700" s="555" t="s">
        <v>2624</v>
      </c>
      <c r="I2700" s="459" t="str">
        <f>CONCATENATE(I2701," ","(",H2701,")","-",N2701," ",M2701," ",)</f>
        <v xml:space="preserve">Оснащение дуговых защит схемами контроля по току и контроля по напряжению 3U0  ()-1 шт. </v>
      </c>
      <c r="J2700" s="529" t="s">
        <v>365</v>
      </c>
      <c r="K2700" s="474">
        <v>44501</v>
      </c>
      <c r="L2700" s="474" t="s">
        <v>3666</v>
      </c>
      <c r="M2700" s="530"/>
      <c r="N2700" s="530"/>
    </row>
    <row r="2701" spans="1:14" ht="40.5" hidden="1" outlineLevel="2">
      <c r="A2701" s="408"/>
      <c r="B2701" s="408"/>
      <c r="C2701" s="459" t="s">
        <v>2607</v>
      </c>
      <c r="D2701" s="459" t="s">
        <v>1830</v>
      </c>
      <c r="E2701" s="408"/>
      <c r="F2701" s="408"/>
      <c r="G2701" s="408"/>
      <c r="H2701" s="408"/>
      <c r="I2701" s="385" t="s">
        <v>3667</v>
      </c>
      <c r="J2701" s="489"/>
      <c r="K2701" s="450"/>
      <c r="L2701" s="450"/>
      <c r="M2701" s="490" t="s">
        <v>37</v>
      </c>
      <c r="N2701" s="490">
        <v>1</v>
      </c>
    </row>
    <row r="2702" spans="1:14" s="384" customFormat="1" ht="40.5" outlineLevel="1" collapsed="1">
      <c r="A2702" s="402" t="s">
        <v>1783</v>
      </c>
      <c r="B2702" s="459" t="s">
        <v>237</v>
      </c>
      <c r="C2702" s="459" t="s">
        <v>2126</v>
      </c>
      <c r="D2702" s="459" t="s">
        <v>1830</v>
      </c>
      <c r="E2702" s="459" t="s">
        <v>3671</v>
      </c>
      <c r="F2702" s="541" t="s">
        <v>303</v>
      </c>
      <c r="G2702" s="459"/>
      <c r="H2702" s="555" t="s">
        <v>2459</v>
      </c>
      <c r="I2702" s="459" t="str">
        <f>CONCATENATE(I2703," ","(",H2703,")","-",N2703," ",M2703," ",)</f>
        <v xml:space="preserve">Оснащение дуговых защит схемами контроля по току и контроля по напряжению 3U0  ()-1 шт. </v>
      </c>
      <c r="J2702" s="529" t="s">
        <v>365</v>
      </c>
      <c r="K2702" s="474">
        <v>44501</v>
      </c>
      <c r="L2702" s="474" t="s">
        <v>3666</v>
      </c>
      <c r="M2702" s="530"/>
      <c r="N2702" s="530"/>
    </row>
    <row r="2703" spans="1:14" ht="40.5" hidden="1" outlineLevel="2">
      <c r="A2703" s="408"/>
      <c r="B2703" s="408"/>
      <c r="C2703" s="459" t="s">
        <v>2126</v>
      </c>
      <c r="D2703" s="459" t="s">
        <v>1830</v>
      </c>
      <c r="E2703" s="408"/>
      <c r="F2703" s="408"/>
      <c r="G2703" s="408"/>
      <c r="H2703" s="408"/>
      <c r="I2703" s="385" t="s">
        <v>3667</v>
      </c>
      <c r="J2703" s="489"/>
      <c r="K2703" s="450"/>
      <c r="L2703" s="450"/>
      <c r="M2703" s="490" t="s">
        <v>37</v>
      </c>
      <c r="N2703" s="490">
        <v>1</v>
      </c>
    </row>
    <row r="2704" spans="1:14" s="384" customFormat="1" ht="40.5" outlineLevel="1" collapsed="1">
      <c r="A2704" s="402" t="s">
        <v>1784</v>
      </c>
      <c r="B2704" s="459" t="s">
        <v>237</v>
      </c>
      <c r="C2704" s="459" t="s">
        <v>2126</v>
      </c>
      <c r="D2704" s="459" t="s">
        <v>1830</v>
      </c>
      <c r="E2704" s="459" t="s">
        <v>3672</v>
      </c>
      <c r="F2704" s="541" t="s">
        <v>303</v>
      </c>
      <c r="G2704" s="459"/>
      <c r="H2704" s="555" t="s">
        <v>2586</v>
      </c>
      <c r="I2704" s="459" t="str">
        <f>CONCATENATE(I2705," ","(",H2705,")","-",N2705," ",M2705," ",)</f>
        <v xml:space="preserve">Оснащение дуговых защит схемами контроля по току и контроля по напряжению 3U0  ()-1 шт. </v>
      </c>
      <c r="J2704" s="529" t="s">
        <v>365</v>
      </c>
      <c r="K2704" s="474">
        <v>44501</v>
      </c>
      <c r="L2704" s="474" t="s">
        <v>3666</v>
      </c>
      <c r="M2704" s="530"/>
      <c r="N2704" s="530"/>
    </row>
    <row r="2705" spans="1:14" ht="40.5" hidden="1" outlineLevel="2">
      <c r="A2705" s="408"/>
      <c r="B2705" s="408"/>
      <c r="C2705" s="459" t="s">
        <v>2126</v>
      </c>
      <c r="D2705" s="459" t="s">
        <v>1830</v>
      </c>
      <c r="E2705" s="408"/>
      <c r="F2705" s="408"/>
      <c r="G2705" s="408"/>
      <c r="H2705" s="408"/>
      <c r="I2705" s="385" t="s">
        <v>3667</v>
      </c>
      <c r="J2705" s="489"/>
      <c r="K2705" s="450"/>
      <c r="L2705" s="450"/>
      <c r="M2705" s="490" t="s">
        <v>37</v>
      </c>
      <c r="N2705" s="490">
        <v>1</v>
      </c>
    </row>
    <row r="2706" spans="1:14" s="384" customFormat="1" ht="60.75" outlineLevel="1" collapsed="1">
      <c r="A2706" s="402" t="s">
        <v>1785</v>
      </c>
      <c r="B2706" s="459" t="s">
        <v>237</v>
      </c>
      <c r="C2706" s="459" t="s">
        <v>2518</v>
      </c>
      <c r="D2706" s="459" t="s">
        <v>1830</v>
      </c>
      <c r="E2706" s="459" t="s">
        <v>3673</v>
      </c>
      <c r="F2706" s="541" t="s">
        <v>303</v>
      </c>
      <c r="G2706" s="459"/>
      <c r="H2706" s="555" t="s">
        <v>2519</v>
      </c>
      <c r="I2706" s="459" t="str">
        <f>CONCATENATE(I2707," ","(",H2707,")","-",N2707," ",M2707," ",)</f>
        <v xml:space="preserve">Оснащение дуговых защит схемами контроля по току и контроля по напряжению 3U0  ()-1 шт. </v>
      </c>
      <c r="J2706" s="529" t="s">
        <v>365</v>
      </c>
      <c r="K2706" s="474">
        <v>44501</v>
      </c>
      <c r="L2706" s="474" t="s">
        <v>3666</v>
      </c>
      <c r="M2706" s="530"/>
      <c r="N2706" s="530"/>
    </row>
    <row r="2707" spans="1:14" ht="60.75" hidden="1" outlineLevel="2">
      <c r="A2707" s="408"/>
      <c r="B2707" s="408"/>
      <c r="C2707" s="459" t="s">
        <v>2518</v>
      </c>
      <c r="D2707" s="459" t="s">
        <v>1830</v>
      </c>
      <c r="E2707" s="408"/>
      <c r="F2707" s="408"/>
      <c r="G2707" s="408"/>
      <c r="H2707" s="408"/>
      <c r="I2707" s="385" t="s">
        <v>3667</v>
      </c>
      <c r="J2707" s="489"/>
      <c r="K2707" s="450"/>
      <c r="L2707" s="450"/>
      <c r="M2707" s="490" t="s">
        <v>37</v>
      </c>
      <c r="N2707" s="490">
        <v>1</v>
      </c>
    </row>
    <row r="2708" spans="1:14" s="384" customFormat="1" ht="81" outlineLevel="1" collapsed="1">
      <c r="A2708" s="402" t="s">
        <v>1786</v>
      </c>
      <c r="B2708" s="459" t="s">
        <v>237</v>
      </c>
      <c r="C2708" s="459" t="s">
        <v>2518</v>
      </c>
      <c r="D2708" s="459" t="s">
        <v>1830</v>
      </c>
      <c r="E2708" s="459" t="s">
        <v>3674</v>
      </c>
      <c r="F2708" s="541" t="s">
        <v>303</v>
      </c>
      <c r="G2708" s="459"/>
      <c r="H2708" s="555" t="s">
        <v>2530</v>
      </c>
      <c r="I2708" s="459" t="str">
        <f>CONCATENATE(I2709," ","(",H2709,")","-",N2709," ",M2709," ",)</f>
        <v xml:space="preserve">Оснащение дуговых защит схемами контроля по току и контроля по напряжению 3U0  ()-1 шт. </v>
      </c>
      <c r="J2708" s="529" t="s">
        <v>365</v>
      </c>
      <c r="K2708" s="474">
        <v>44501</v>
      </c>
      <c r="L2708" s="474" t="s">
        <v>3666</v>
      </c>
      <c r="M2708" s="530"/>
      <c r="N2708" s="530"/>
    </row>
    <row r="2709" spans="1:14" ht="60.75" hidden="1" outlineLevel="2">
      <c r="A2709" s="408"/>
      <c r="B2709" s="408"/>
      <c r="C2709" s="459" t="s">
        <v>2518</v>
      </c>
      <c r="D2709" s="459" t="s">
        <v>1830</v>
      </c>
      <c r="E2709" s="408"/>
      <c r="F2709" s="408"/>
      <c r="G2709" s="408"/>
      <c r="H2709" s="408"/>
      <c r="I2709" s="385" t="s">
        <v>3667</v>
      </c>
      <c r="J2709" s="489"/>
      <c r="K2709" s="450"/>
      <c r="L2709" s="450"/>
      <c r="M2709" s="490" t="s">
        <v>37</v>
      </c>
      <c r="N2709" s="490">
        <v>1</v>
      </c>
    </row>
    <row r="2710" spans="1:14" s="384" customFormat="1" ht="60.75" outlineLevel="1" collapsed="1">
      <c r="A2710" s="402" t="s">
        <v>1787</v>
      </c>
      <c r="B2710" s="459" t="s">
        <v>237</v>
      </c>
      <c r="C2710" s="459" t="s">
        <v>2518</v>
      </c>
      <c r="D2710" s="459" t="s">
        <v>1830</v>
      </c>
      <c r="E2710" s="459" t="s">
        <v>3675</v>
      </c>
      <c r="F2710" s="541" t="s">
        <v>303</v>
      </c>
      <c r="G2710" s="459"/>
      <c r="H2710" s="555" t="s">
        <v>2539</v>
      </c>
      <c r="I2710" s="459" t="str">
        <f>CONCATENATE(I2711," ","(",H2711,")","-",N2711," ",M2711," ",)</f>
        <v xml:space="preserve">Оснащение дуговых защит схемами контроля по току и контроля по напряжению 3U0  ()-1 шт. </v>
      </c>
      <c r="J2710" s="529" t="s">
        <v>365</v>
      </c>
      <c r="K2710" s="474">
        <v>44501</v>
      </c>
      <c r="L2710" s="474" t="s">
        <v>3666</v>
      </c>
      <c r="M2710" s="530"/>
      <c r="N2710" s="530"/>
    </row>
    <row r="2711" spans="1:14" ht="60.75" hidden="1" outlineLevel="2">
      <c r="A2711" s="408"/>
      <c r="B2711" s="408"/>
      <c r="C2711" s="459" t="s">
        <v>2518</v>
      </c>
      <c r="D2711" s="459" t="s">
        <v>1830</v>
      </c>
      <c r="E2711" s="408"/>
      <c r="F2711" s="408"/>
      <c r="G2711" s="408"/>
      <c r="H2711" s="408"/>
      <c r="I2711" s="385" t="s">
        <v>3667</v>
      </c>
      <c r="J2711" s="489"/>
      <c r="K2711" s="450"/>
      <c r="L2711" s="450"/>
      <c r="M2711" s="490" t="s">
        <v>37</v>
      </c>
      <c r="N2711" s="490">
        <v>1</v>
      </c>
    </row>
    <row r="2712" spans="1:14" s="384" customFormat="1" ht="60.75" outlineLevel="1" collapsed="1">
      <c r="A2712" s="402" t="s">
        <v>1788</v>
      </c>
      <c r="B2712" s="459" t="s">
        <v>237</v>
      </c>
      <c r="C2712" s="459" t="s">
        <v>2518</v>
      </c>
      <c r="D2712" s="459" t="s">
        <v>1830</v>
      </c>
      <c r="E2712" s="459" t="s">
        <v>3676</v>
      </c>
      <c r="F2712" s="541" t="s">
        <v>303</v>
      </c>
      <c r="G2712" s="459"/>
      <c r="H2712" s="555" t="s">
        <v>2552</v>
      </c>
      <c r="I2712" s="459" t="str">
        <f>CONCATENATE(I2713," ","(",H2713,")","-",N2713," ",M2713," ",)</f>
        <v xml:space="preserve">Оснащение дуговых защит схемами контроля по току и контроля по напряжению 3U0  ()-1 шт. </v>
      </c>
      <c r="J2712" s="529" t="s">
        <v>365</v>
      </c>
      <c r="K2712" s="474">
        <v>44501</v>
      </c>
      <c r="L2712" s="474" t="s">
        <v>3666</v>
      </c>
      <c r="M2712" s="530"/>
      <c r="N2712" s="530"/>
    </row>
    <row r="2713" spans="1:14" ht="60.75" hidden="1" outlineLevel="2">
      <c r="A2713" s="408"/>
      <c r="B2713" s="408"/>
      <c r="C2713" s="459" t="s">
        <v>2518</v>
      </c>
      <c r="D2713" s="459" t="s">
        <v>1830</v>
      </c>
      <c r="E2713" s="408"/>
      <c r="F2713" s="408"/>
      <c r="G2713" s="408"/>
      <c r="H2713" s="408"/>
      <c r="I2713" s="385" t="s">
        <v>3667</v>
      </c>
      <c r="J2713" s="489"/>
      <c r="K2713" s="450"/>
      <c r="L2713" s="450"/>
      <c r="M2713" s="490" t="s">
        <v>37</v>
      </c>
      <c r="N2713" s="490">
        <v>1</v>
      </c>
    </row>
    <row r="2714" spans="1:14" s="384" customFormat="1" ht="60.75" outlineLevel="1" collapsed="1">
      <c r="A2714" s="402" t="s">
        <v>3422</v>
      </c>
      <c r="B2714" s="459" t="s">
        <v>237</v>
      </c>
      <c r="C2714" s="459" t="s">
        <v>2518</v>
      </c>
      <c r="D2714" s="459" t="s">
        <v>1830</v>
      </c>
      <c r="E2714" s="459" t="s">
        <v>3677</v>
      </c>
      <c r="F2714" s="541" t="s">
        <v>303</v>
      </c>
      <c r="G2714" s="459"/>
      <c r="H2714" s="555" t="s">
        <v>2557</v>
      </c>
      <c r="I2714" s="459" t="str">
        <f>CONCATENATE(I2715," ","(",H2715,")","-",N2715," ",M2715," ",)</f>
        <v xml:space="preserve">Оснащение дуговых защит схемами контроля по току и контроля по напряжению 3U0  ()-1 шт. </v>
      </c>
      <c r="J2714" s="529" t="s">
        <v>365</v>
      </c>
      <c r="K2714" s="474">
        <v>44501</v>
      </c>
      <c r="L2714" s="474" t="s">
        <v>3666</v>
      </c>
      <c r="M2714" s="530"/>
      <c r="N2714" s="530"/>
    </row>
    <row r="2715" spans="1:14" ht="60.75" hidden="1" outlineLevel="2">
      <c r="A2715" s="408"/>
      <c r="B2715" s="408"/>
      <c r="C2715" s="459" t="s">
        <v>2518</v>
      </c>
      <c r="D2715" s="459" t="s">
        <v>1830</v>
      </c>
      <c r="E2715" s="408"/>
      <c r="F2715" s="408"/>
      <c r="G2715" s="408"/>
      <c r="H2715" s="408"/>
      <c r="I2715" s="385" t="s">
        <v>3667</v>
      </c>
      <c r="J2715" s="489"/>
      <c r="K2715" s="450"/>
      <c r="L2715" s="450"/>
      <c r="M2715" s="490" t="s">
        <v>37</v>
      </c>
      <c r="N2715" s="490">
        <v>1</v>
      </c>
    </row>
    <row r="2716" spans="1:14" s="384" customFormat="1" ht="60.75" outlineLevel="1" collapsed="1">
      <c r="A2716" s="402" t="s">
        <v>3424</v>
      </c>
      <c r="B2716" s="459" t="s">
        <v>237</v>
      </c>
      <c r="C2716" s="459" t="s">
        <v>2518</v>
      </c>
      <c r="D2716" s="459" t="s">
        <v>1830</v>
      </c>
      <c r="E2716" s="459" t="s">
        <v>3678</v>
      </c>
      <c r="F2716" s="541" t="s">
        <v>303</v>
      </c>
      <c r="G2716" s="459"/>
      <c r="H2716" s="555" t="s">
        <v>2562</v>
      </c>
      <c r="I2716" s="459" t="str">
        <f>CONCATENATE(I2717," ","(",H2717,")","-",N2717," ",M2717," ",)</f>
        <v xml:space="preserve">Оснащение дуговых защит схемами контроля по току и контроля по напряжению 3U0  ()-1 шт. </v>
      </c>
      <c r="J2716" s="529" t="s">
        <v>365</v>
      </c>
      <c r="K2716" s="474">
        <v>44501</v>
      </c>
      <c r="L2716" s="474" t="s">
        <v>3666</v>
      </c>
      <c r="M2716" s="530"/>
      <c r="N2716" s="530"/>
    </row>
    <row r="2717" spans="1:14" ht="60.75" hidden="1" outlineLevel="2">
      <c r="A2717" s="408"/>
      <c r="B2717" s="408"/>
      <c r="C2717" s="459" t="s">
        <v>2518</v>
      </c>
      <c r="D2717" s="459" t="s">
        <v>1830</v>
      </c>
      <c r="E2717" s="408"/>
      <c r="F2717" s="408"/>
      <c r="G2717" s="408"/>
      <c r="H2717" s="408"/>
      <c r="I2717" s="385" t="s">
        <v>3667</v>
      </c>
      <c r="J2717" s="489"/>
      <c r="K2717" s="450"/>
      <c r="L2717" s="450"/>
      <c r="M2717" s="490" t="s">
        <v>37</v>
      </c>
      <c r="N2717" s="490">
        <v>1</v>
      </c>
    </row>
    <row r="2718" spans="1:14" s="384" customFormat="1" ht="60.75" outlineLevel="1" collapsed="1">
      <c r="A2718" s="402" t="s">
        <v>3426</v>
      </c>
      <c r="B2718" s="459" t="s">
        <v>237</v>
      </c>
      <c r="C2718" s="459" t="s">
        <v>2518</v>
      </c>
      <c r="D2718" s="459" t="s">
        <v>1830</v>
      </c>
      <c r="E2718" s="459" t="s">
        <v>3679</v>
      </c>
      <c r="F2718" s="541" t="s">
        <v>303</v>
      </c>
      <c r="G2718" s="459"/>
      <c r="H2718" s="555" t="s">
        <v>2567</v>
      </c>
      <c r="I2718" s="459" t="str">
        <f>CONCATENATE(I2719," ","(",H2719,")","-",N2719," ",M2719," ",)</f>
        <v xml:space="preserve">Оснащение дуговых защит схемами контроля по току и контроля по напряжению 3U0  ()-1 шт. </v>
      </c>
      <c r="J2718" s="529" t="s">
        <v>365</v>
      </c>
      <c r="K2718" s="474">
        <v>44501</v>
      </c>
      <c r="L2718" s="474" t="s">
        <v>3666</v>
      </c>
      <c r="M2718" s="530"/>
      <c r="N2718" s="530"/>
    </row>
    <row r="2719" spans="1:14" ht="60.75" hidden="1" outlineLevel="2">
      <c r="A2719" s="408"/>
      <c r="B2719" s="408"/>
      <c r="C2719" s="459" t="s">
        <v>2518</v>
      </c>
      <c r="D2719" s="459" t="s">
        <v>1830</v>
      </c>
      <c r="E2719" s="408"/>
      <c r="F2719" s="408"/>
      <c r="G2719" s="408"/>
      <c r="H2719" s="408"/>
      <c r="I2719" s="385" t="s">
        <v>3667</v>
      </c>
      <c r="J2719" s="489"/>
      <c r="K2719" s="450"/>
      <c r="L2719" s="450"/>
      <c r="M2719" s="490" t="s">
        <v>37</v>
      </c>
      <c r="N2719" s="490">
        <v>1</v>
      </c>
    </row>
    <row r="2720" spans="1:14" s="384" customFormat="1" ht="40.5" outlineLevel="1" collapsed="1">
      <c r="A2720" s="402" t="s">
        <v>3429</v>
      </c>
      <c r="B2720" s="459" t="s">
        <v>237</v>
      </c>
      <c r="C2720" s="459" t="s">
        <v>2607</v>
      </c>
      <c r="D2720" s="459" t="s">
        <v>1830</v>
      </c>
      <c r="E2720" s="459" t="s">
        <v>3680</v>
      </c>
      <c r="F2720" s="541" t="s">
        <v>303</v>
      </c>
      <c r="G2720" s="459"/>
      <c r="H2720" s="555" t="s">
        <v>2628</v>
      </c>
      <c r="I2720" s="459" t="str">
        <f>CONCATENATE(I2721," ","(",H2721,")","-",N2721," ",M2721," ",)</f>
        <v xml:space="preserve">Оснащение дуговых защит схемами контроля по току и контроля по напряжению 3U0  ()-1 шт. </v>
      </c>
      <c r="J2720" s="529" t="s">
        <v>365</v>
      </c>
      <c r="K2720" s="474">
        <v>44501</v>
      </c>
      <c r="L2720" s="474" t="s">
        <v>3666</v>
      </c>
      <c r="M2720" s="530"/>
      <c r="N2720" s="530"/>
    </row>
    <row r="2721" spans="1:69" ht="40.5" hidden="1" outlineLevel="2">
      <c r="A2721" s="408"/>
      <c r="B2721" s="408"/>
      <c r="C2721" s="459" t="s">
        <v>2607</v>
      </c>
      <c r="D2721" s="459" t="s">
        <v>1830</v>
      </c>
      <c r="E2721" s="408"/>
      <c r="F2721" s="408"/>
      <c r="G2721" s="408"/>
      <c r="H2721" s="408"/>
      <c r="I2721" s="385" t="s">
        <v>3667</v>
      </c>
      <c r="J2721" s="489"/>
      <c r="K2721" s="450"/>
      <c r="L2721" s="450"/>
      <c r="M2721" s="490" t="s">
        <v>37</v>
      </c>
      <c r="N2721" s="490">
        <v>1</v>
      </c>
    </row>
    <row r="2722" spans="1:69" s="384" customFormat="1" ht="40.5" outlineLevel="1" collapsed="1">
      <c r="A2722" s="402" t="s">
        <v>3431</v>
      </c>
      <c r="B2722" s="459" t="s">
        <v>237</v>
      </c>
      <c r="C2722" s="459" t="s">
        <v>3681</v>
      </c>
      <c r="D2722" s="459" t="s">
        <v>1830</v>
      </c>
      <c r="E2722" s="459" t="s">
        <v>3276</v>
      </c>
      <c r="F2722" s="541" t="s">
        <v>303</v>
      </c>
      <c r="G2722" s="459"/>
      <c r="H2722" s="555" t="s">
        <v>3682</v>
      </c>
      <c r="I2722" s="459" t="str">
        <f>CONCATENATE(I2723," ","(",H2723,")","-",N2723," ",M2723," ",)</f>
        <v xml:space="preserve">Оснащение дуговых защит схемами контроля по току и контроля по напряжению 3U0  ()-1 шт. </v>
      </c>
      <c r="J2722" s="529" t="s">
        <v>365</v>
      </c>
      <c r="K2722" s="474">
        <v>44501</v>
      </c>
      <c r="L2722" s="474" t="s">
        <v>3666</v>
      </c>
      <c r="M2722" s="530"/>
      <c r="N2722" s="530"/>
    </row>
    <row r="2723" spans="1:69" ht="40.5" hidden="1" outlineLevel="2">
      <c r="A2723" s="408"/>
      <c r="B2723" s="408"/>
      <c r="C2723" s="459" t="s">
        <v>3681</v>
      </c>
      <c r="D2723" s="459" t="s">
        <v>1830</v>
      </c>
      <c r="E2723" s="408"/>
      <c r="F2723" s="408"/>
      <c r="G2723" s="408"/>
      <c r="H2723" s="408"/>
      <c r="I2723" s="385" t="s">
        <v>3667</v>
      </c>
      <c r="J2723" s="489"/>
      <c r="K2723" s="450"/>
      <c r="L2723" s="450"/>
      <c r="M2723" s="490" t="s">
        <v>37</v>
      </c>
      <c r="N2723" s="490">
        <v>1</v>
      </c>
    </row>
    <row r="2724" spans="1:69" s="384" customFormat="1" ht="40.5" outlineLevel="1" collapsed="1">
      <c r="A2724" s="402" t="s">
        <v>3434</v>
      </c>
      <c r="B2724" s="459" t="s">
        <v>237</v>
      </c>
      <c r="C2724" s="459" t="s">
        <v>47</v>
      </c>
      <c r="D2724" s="459" t="s">
        <v>1830</v>
      </c>
      <c r="E2724" s="459" t="s">
        <v>3683</v>
      </c>
      <c r="F2724" s="541" t="s">
        <v>303</v>
      </c>
      <c r="G2724" s="459"/>
      <c r="H2724" s="555" t="s">
        <v>3684</v>
      </c>
      <c r="I2724" s="459" t="str">
        <f>CONCATENATE(I2725," ","(",H2725,")","-",N2725," ",M2725," ",)</f>
        <v xml:space="preserve">Оснащение дуговых защит схемами контроля по току и контроля по напряжению 3U0  ()-1 шт. </v>
      </c>
      <c r="J2724" s="529" t="s">
        <v>365</v>
      </c>
      <c r="K2724" s="474">
        <v>44501</v>
      </c>
      <c r="L2724" s="474" t="s">
        <v>3666</v>
      </c>
      <c r="M2724" s="530"/>
      <c r="N2724" s="530"/>
    </row>
    <row r="2725" spans="1:69" ht="40.5" hidden="1" outlineLevel="2">
      <c r="A2725" s="408"/>
      <c r="B2725" s="408"/>
      <c r="C2725" s="459" t="s">
        <v>47</v>
      </c>
      <c r="D2725" s="459" t="s">
        <v>1830</v>
      </c>
      <c r="E2725" s="408"/>
      <c r="F2725" s="408"/>
      <c r="G2725" s="408"/>
      <c r="H2725" s="408"/>
      <c r="I2725" s="385" t="s">
        <v>3667</v>
      </c>
      <c r="J2725" s="489"/>
      <c r="K2725" s="450"/>
      <c r="L2725" s="450"/>
      <c r="M2725" s="490" t="s">
        <v>37</v>
      </c>
      <c r="N2725" s="490">
        <v>1</v>
      </c>
    </row>
    <row r="2726" spans="1:69" s="384" customFormat="1" ht="40.5" outlineLevel="1" collapsed="1">
      <c r="A2726" s="402" t="s">
        <v>3436</v>
      </c>
      <c r="B2726" s="459" t="s">
        <v>237</v>
      </c>
      <c r="C2726" s="459" t="s">
        <v>47</v>
      </c>
      <c r="D2726" s="459" t="s">
        <v>1830</v>
      </c>
      <c r="E2726" s="459" t="s">
        <v>3685</v>
      </c>
      <c r="F2726" s="541" t="s">
        <v>303</v>
      </c>
      <c r="G2726" s="459"/>
      <c r="H2726" s="555" t="s">
        <v>3686</v>
      </c>
      <c r="I2726" s="459" t="str">
        <f>CONCATENATE(I2727," ","(",H2727,")","-",N2727," ",M2727," ",)</f>
        <v xml:space="preserve">Оснащение дуговых защит схемами контроля по току и контроля по напряжению 3U0  ()-1 шт. </v>
      </c>
      <c r="J2726" s="529" t="s">
        <v>365</v>
      </c>
      <c r="K2726" s="474">
        <v>44501</v>
      </c>
      <c r="L2726" s="474" t="s">
        <v>3666</v>
      </c>
      <c r="M2726" s="530"/>
      <c r="N2726" s="530"/>
    </row>
    <row r="2727" spans="1:69" ht="40.5" hidden="1" outlineLevel="2">
      <c r="A2727" s="408"/>
      <c r="B2727" s="408"/>
      <c r="C2727" s="459" t="s">
        <v>47</v>
      </c>
      <c r="D2727" s="459" t="s">
        <v>1830</v>
      </c>
      <c r="E2727" s="408"/>
      <c r="F2727" s="408"/>
      <c r="G2727" s="408"/>
      <c r="H2727" s="408"/>
      <c r="I2727" s="385" t="s">
        <v>3667</v>
      </c>
      <c r="J2727" s="489"/>
      <c r="K2727" s="450"/>
      <c r="L2727" s="450"/>
      <c r="M2727" s="490" t="s">
        <v>37</v>
      </c>
      <c r="N2727" s="490">
        <v>1</v>
      </c>
    </row>
    <row r="2728" spans="1:69" ht="35.25" customHeight="1" collapsed="1">
      <c r="A2728" s="438" t="s">
        <v>360</v>
      </c>
      <c r="B2728" s="490"/>
      <c r="C2728" s="414"/>
      <c r="D2728" s="490"/>
      <c r="E2728" s="490"/>
      <c r="F2728" s="385"/>
      <c r="G2728" s="385"/>
      <c r="H2728" s="539" t="s">
        <v>3776</v>
      </c>
      <c r="I2728" s="385"/>
      <c r="J2728" s="489"/>
      <c r="K2728" s="450"/>
      <c r="L2728" s="450"/>
      <c r="M2728" s="389"/>
      <c r="N2728" s="389"/>
    </row>
    <row r="2729" spans="1:69" ht="26.25" hidden="1" outlineLevel="1">
      <c r="A2729" s="589" t="s">
        <v>3690</v>
      </c>
      <c r="B2729" s="589"/>
      <c r="C2729" s="589"/>
      <c r="D2729" s="589"/>
      <c r="E2729" s="589"/>
      <c r="F2729" s="589"/>
      <c r="G2729" s="589"/>
      <c r="H2729" s="589"/>
      <c r="I2729" s="589"/>
      <c r="J2729" s="589"/>
      <c r="K2729" s="589"/>
      <c r="L2729" s="589"/>
      <c r="M2729" s="589"/>
      <c r="N2729" s="589"/>
    </row>
    <row r="2730" spans="1:69" hidden="1" outlineLevel="1">
      <c r="A2730" s="447"/>
      <c r="B2730" s="377"/>
      <c r="C2730" s="421"/>
      <c r="D2730" s="523"/>
      <c r="E2730" s="523"/>
      <c r="F2730" s="442"/>
      <c r="G2730" s="524"/>
      <c r="H2730" s="381" t="s">
        <v>368</v>
      </c>
      <c r="I2730" s="509"/>
      <c r="J2730" s="422"/>
      <c r="K2730" s="463"/>
      <c r="L2730" s="463"/>
      <c r="M2730" s="377"/>
      <c r="N2730" s="377"/>
    </row>
    <row r="2731" spans="1:69" hidden="1" outlineLevel="1">
      <c r="A2731" s="447"/>
      <c r="B2731" s="377"/>
      <c r="C2731" s="421"/>
      <c r="D2731" s="523"/>
      <c r="E2731" s="523"/>
      <c r="F2731" s="442"/>
      <c r="G2731" s="524"/>
      <c r="H2731" s="381"/>
      <c r="I2731" s="509"/>
      <c r="J2731" s="422"/>
      <c r="K2731" s="463"/>
      <c r="L2731" s="463"/>
      <c r="M2731" s="377"/>
      <c r="N2731" s="377"/>
    </row>
    <row r="2732" spans="1:69" s="426" customFormat="1" hidden="1" outlineLevel="1">
      <c r="A2732" s="448" t="s">
        <v>326</v>
      </c>
      <c r="B2732" s="392"/>
      <c r="C2732" s="414"/>
      <c r="D2732" s="490"/>
      <c r="E2732" s="424"/>
      <c r="F2732" s="443"/>
      <c r="G2732" s="525"/>
      <c r="H2732" s="385" t="s">
        <v>348</v>
      </c>
      <c r="I2732" s="510" t="e">
        <f>#REF!</f>
        <v>#REF!</v>
      </c>
      <c r="J2732" s="425" t="s">
        <v>365</v>
      </c>
      <c r="K2732" s="464"/>
      <c r="L2732" s="464"/>
      <c r="M2732" s="423"/>
      <c r="N2732" s="423"/>
      <c r="O2732" s="377"/>
      <c r="P2732" s="377"/>
      <c r="Q2732" s="377"/>
      <c r="R2732" s="377"/>
      <c r="S2732" s="377"/>
      <c r="T2732" s="377"/>
      <c r="U2732" s="377"/>
      <c r="V2732" s="377"/>
      <c r="W2732" s="377"/>
      <c r="X2732" s="377"/>
      <c r="Y2732" s="377"/>
      <c r="Z2732" s="377"/>
      <c r="AA2732" s="377"/>
      <c r="AB2732" s="377"/>
      <c r="AC2732" s="377"/>
      <c r="AD2732" s="377"/>
      <c r="AE2732" s="377"/>
      <c r="AF2732" s="377"/>
      <c r="AG2732" s="377"/>
      <c r="AH2732" s="377"/>
      <c r="AI2732" s="377"/>
      <c r="AJ2732" s="377"/>
      <c r="AK2732" s="377"/>
      <c r="AL2732" s="377"/>
      <c r="AM2732" s="377"/>
      <c r="AN2732" s="377"/>
      <c r="AO2732" s="377"/>
      <c r="AP2732" s="377"/>
      <c r="AQ2732" s="377"/>
      <c r="AR2732" s="377"/>
      <c r="AS2732" s="377"/>
      <c r="AT2732" s="377"/>
      <c r="AU2732" s="377"/>
      <c r="AV2732" s="377"/>
      <c r="AW2732" s="377"/>
      <c r="AX2732" s="377"/>
      <c r="AY2732" s="377"/>
      <c r="AZ2732" s="377"/>
      <c r="BA2732" s="377"/>
      <c r="BB2732" s="377"/>
      <c r="BC2732" s="377"/>
      <c r="BD2732" s="377"/>
      <c r="BE2732" s="377"/>
      <c r="BF2732" s="377"/>
      <c r="BG2732" s="377"/>
      <c r="BH2732" s="377"/>
      <c r="BI2732" s="377"/>
      <c r="BJ2732" s="377"/>
      <c r="BK2732" s="377"/>
      <c r="BL2732" s="377"/>
      <c r="BM2732" s="377"/>
      <c r="BN2732" s="377"/>
      <c r="BO2732" s="377"/>
      <c r="BP2732" s="377"/>
      <c r="BQ2732" s="377"/>
    </row>
    <row r="2733" spans="1:69" s="426" customFormat="1" hidden="1" outlineLevel="1">
      <c r="A2733" s="448" t="s">
        <v>325</v>
      </c>
      <c r="B2733" s="392"/>
      <c r="C2733" s="414"/>
      <c r="D2733" s="490"/>
      <c r="E2733" s="424"/>
      <c r="F2733" s="443"/>
      <c r="G2733" s="525"/>
      <c r="H2733" s="385" t="s">
        <v>349</v>
      </c>
      <c r="I2733" s="510" t="e">
        <f>#REF!</f>
        <v>#REF!</v>
      </c>
      <c r="J2733" s="425" t="s">
        <v>365</v>
      </c>
      <c r="K2733" s="464"/>
      <c r="L2733" s="464"/>
      <c r="M2733" s="423"/>
      <c r="N2733" s="423"/>
      <c r="O2733" s="377"/>
      <c r="P2733" s="377"/>
      <c r="Q2733" s="377"/>
      <c r="R2733" s="377"/>
      <c r="S2733" s="377"/>
      <c r="T2733" s="377"/>
      <c r="U2733" s="377"/>
      <c r="V2733" s="377"/>
      <c r="W2733" s="377"/>
      <c r="X2733" s="377"/>
      <c r="Y2733" s="377"/>
      <c r="Z2733" s="377"/>
      <c r="AA2733" s="377"/>
      <c r="AB2733" s="377"/>
      <c r="AC2733" s="377"/>
      <c r="AD2733" s="377"/>
      <c r="AE2733" s="377"/>
      <c r="AF2733" s="377"/>
      <c r="AG2733" s="377"/>
      <c r="AH2733" s="377"/>
      <c r="AI2733" s="377"/>
      <c r="AJ2733" s="377"/>
      <c r="AK2733" s="377"/>
      <c r="AL2733" s="377"/>
      <c r="AM2733" s="377"/>
      <c r="AN2733" s="377"/>
      <c r="AO2733" s="377"/>
      <c r="AP2733" s="377"/>
      <c r="AQ2733" s="377"/>
      <c r="AR2733" s="377"/>
      <c r="AS2733" s="377"/>
      <c r="AT2733" s="377"/>
      <c r="AU2733" s="377"/>
      <c r="AV2733" s="377"/>
      <c r="AW2733" s="377"/>
      <c r="AX2733" s="377"/>
      <c r="AY2733" s="377"/>
      <c r="AZ2733" s="377"/>
      <c r="BA2733" s="377"/>
      <c r="BB2733" s="377"/>
      <c r="BC2733" s="377"/>
      <c r="BD2733" s="377"/>
      <c r="BE2733" s="377"/>
      <c r="BF2733" s="377"/>
      <c r="BG2733" s="377"/>
      <c r="BH2733" s="377"/>
      <c r="BI2733" s="377"/>
      <c r="BJ2733" s="377"/>
      <c r="BK2733" s="377"/>
      <c r="BL2733" s="377"/>
      <c r="BM2733" s="377"/>
      <c r="BN2733" s="377"/>
      <c r="BO2733" s="377"/>
      <c r="BP2733" s="377"/>
      <c r="BQ2733" s="377"/>
    </row>
    <row r="2734" spans="1:69" s="426" customFormat="1" ht="20.25" hidden="1" customHeight="1" outlineLevel="1">
      <c r="A2734" s="448" t="s">
        <v>327</v>
      </c>
      <c r="B2734" s="392"/>
      <c r="C2734" s="414"/>
      <c r="D2734" s="490"/>
      <c r="E2734" s="424"/>
      <c r="F2734" s="443"/>
      <c r="G2734" s="525"/>
      <c r="H2734" s="385" t="s">
        <v>350</v>
      </c>
      <c r="I2734" s="510" t="e">
        <f>#REF!</f>
        <v>#REF!</v>
      </c>
      <c r="J2734" s="425" t="s">
        <v>365</v>
      </c>
      <c r="K2734" s="464"/>
      <c r="L2734" s="464"/>
      <c r="M2734" s="423"/>
      <c r="N2734" s="423"/>
      <c r="O2734" s="377"/>
      <c r="P2734" s="377"/>
      <c r="Q2734" s="377"/>
      <c r="R2734" s="377"/>
      <c r="S2734" s="377"/>
      <c r="T2734" s="377"/>
      <c r="U2734" s="377"/>
      <c r="V2734" s="377"/>
      <c r="W2734" s="377"/>
      <c r="X2734" s="377"/>
      <c r="Y2734" s="377"/>
      <c r="Z2734" s="377"/>
      <c r="AA2734" s="377"/>
      <c r="AB2734" s="377"/>
      <c r="AC2734" s="377"/>
      <c r="AD2734" s="377"/>
      <c r="AE2734" s="377"/>
      <c r="AF2734" s="377"/>
      <c r="AG2734" s="377"/>
      <c r="AH2734" s="377"/>
      <c r="AI2734" s="377"/>
      <c r="AJ2734" s="377"/>
      <c r="AK2734" s="377"/>
      <c r="AL2734" s="377"/>
      <c r="AM2734" s="377"/>
      <c r="AN2734" s="377"/>
      <c r="AO2734" s="377"/>
      <c r="AP2734" s="377"/>
      <c r="AQ2734" s="377"/>
      <c r="AR2734" s="377"/>
      <c r="AS2734" s="377"/>
      <c r="AT2734" s="377"/>
      <c r="AU2734" s="377"/>
      <c r="AV2734" s="377"/>
      <c r="AW2734" s="377"/>
      <c r="AX2734" s="377"/>
      <c r="AY2734" s="377"/>
      <c r="AZ2734" s="377"/>
      <c r="BA2734" s="377"/>
      <c r="BB2734" s="377"/>
      <c r="BC2734" s="377"/>
      <c r="BD2734" s="377"/>
      <c r="BE2734" s="377"/>
      <c r="BF2734" s="377"/>
      <c r="BG2734" s="377"/>
      <c r="BH2734" s="377"/>
      <c r="BI2734" s="377"/>
      <c r="BJ2734" s="377"/>
      <c r="BK2734" s="377"/>
      <c r="BL2734" s="377"/>
      <c r="BM2734" s="377"/>
      <c r="BN2734" s="377"/>
      <c r="BO2734" s="377"/>
      <c r="BP2734" s="377"/>
      <c r="BQ2734" s="377"/>
    </row>
    <row r="2735" spans="1:69" s="426" customFormat="1" hidden="1" outlineLevel="1">
      <c r="A2735" s="448" t="s">
        <v>328</v>
      </c>
      <c r="B2735" s="392"/>
      <c r="C2735" s="414"/>
      <c r="D2735" s="490"/>
      <c r="E2735" s="424"/>
      <c r="F2735" s="443"/>
      <c r="G2735" s="525"/>
      <c r="H2735" s="385" t="s">
        <v>351</v>
      </c>
      <c r="I2735" s="510" t="e">
        <f>#REF!</f>
        <v>#REF!</v>
      </c>
      <c r="J2735" s="425" t="s">
        <v>365</v>
      </c>
      <c r="K2735" s="464"/>
      <c r="L2735" s="464"/>
      <c r="M2735" s="423"/>
      <c r="N2735" s="423"/>
      <c r="O2735" s="377"/>
      <c r="P2735" s="377"/>
      <c r="Q2735" s="377"/>
      <c r="R2735" s="377"/>
      <c r="S2735" s="377"/>
      <c r="T2735" s="377"/>
      <c r="U2735" s="377"/>
      <c r="V2735" s="377"/>
      <c r="W2735" s="377"/>
      <c r="X2735" s="377"/>
      <c r="Y2735" s="377"/>
      <c r="Z2735" s="377"/>
      <c r="AA2735" s="377"/>
      <c r="AB2735" s="377"/>
      <c r="AC2735" s="377"/>
      <c r="AD2735" s="377"/>
      <c r="AE2735" s="377"/>
      <c r="AF2735" s="377"/>
      <c r="AG2735" s="377"/>
      <c r="AH2735" s="377"/>
      <c r="AI2735" s="377"/>
      <c r="AJ2735" s="377"/>
      <c r="AK2735" s="377"/>
      <c r="AL2735" s="377"/>
      <c r="AM2735" s="377"/>
      <c r="AN2735" s="377"/>
      <c r="AO2735" s="377"/>
      <c r="AP2735" s="377"/>
      <c r="AQ2735" s="377"/>
      <c r="AR2735" s="377"/>
      <c r="AS2735" s="377"/>
      <c r="AT2735" s="377"/>
      <c r="AU2735" s="377"/>
      <c r="AV2735" s="377"/>
      <c r="AW2735" s="377"/>
      <c r="AX2735" s="377"/>
      <c r="AY2735" s="377"/>
      <c r="AZ2735" s="377"/>
      <c r="BA2735" s="377"/>
      <c r="BB2735" s="377"/>
      <c r="BC2735" s="377"/>
      <c r="BD2735" s="377"/>
      <c r="BE2735" s="377"/>
      <c r="BF2735" s="377"/>
      <c r="BG2735" s="377"/>
      <c r="BH2735" s="377"/>
      <c r="BI2735" s="377"/>
      <c r="BJ2735" s="377"/>
      <c r="BK2735" s="377"/>
      <c r="BL2735" s="377"/>
      <c r="BM2735" s="377"/>
      <c r="BN2735" s="377"/>
      <c r="BO2735" s="377"/>
      <c r="BP2735" s="377"/>
      <c r="BQ2735" s="377"/>
    </row>
    <row r="2736" spans="1:69" s="426" customFormat="1" hidden="1" outlineLevel="1">
      <c r="A2736" s="448" t="s">
        <v>329</v>
      </c>
      <c r="B2736" s="392"/>
      <c r="C2736" s="414"/>
      <c r="D2736" s="490"/>
      <c r="E2736" s="424"/>
      <c r="F2736" s="443"/>
      <c r="G2736" s="525"/>
      <c r="H2736" s="385" t="s">
        <v>353</v>
      </c>
      <c r="I2736" s="511">
        <v>0</v>
      </c>
      <c r="J2736" s="425" t="s">
        <v>365</v>
      </c>
      <c r="K2736" s="464"/>
      <c r="L2736" s="464"/>
      <c r="M2736" s="423"/>
      <c r="N2736" s="423"/>
      <c r="O2736" s="377"/>
      <c r="P2736" s="377"/>
      <c r="Q2736" s="377"/>
      <c r="R2736" s="377"/>
      <c r="S2736" s="377"/>
      <c r="T2736" s="377"/>
      <c r="U2736" s="377"/>
      <c r="V2736" s="377"/>
      <c r="W2736" s="377"/>
      <c r="X2736" s="377"/>
      <c r="Y2736" s="377"/>
      <c r="Z2736" s="377"/>
      <c r="AA2736" s="377"/>
      <c r="AB2736" s="377"/>
      <c r="AC2736" s="377"/>
      <c r="AD2736" s="377"/>
      <c r="AE2736" s="377"/>
      <c r="AF2736" s="377"/>
      <c r="AG2736" s="377"/>
      <c r="AH2736" s="377"/>
      <c r="AI2736" s="377"/>
      <c r="AJ2736" s="377"/>
      <c r="AK2736" s="377"/>
      <c r="AL2736" s="377"/>
      <c r="AM2736" s="377"/>
      <c r="AN2736" s="377"/>
      <c r="AO2736" s="377"/>
      <c r="AP2736" s="377"/>
      <c r="AQ2736" s="377"/>
      <c r="AR2736" s="377"/>
      <c r="AS2736" s="377"/>
      <c r="AT2736" s="377"/>
      <c r="AU2736" s="377"/>
      <c r="AV2736" s="377"/>
      <c r="AW2736" s="377"/>
      <c r="AX2736" s="377"/>
      <c r="AY2736" s="377"/>
      <c r="AZ2736" s="377"/>
      <c r="BA2736" s="377"/>
      <c r="BB2736" s="377"/>
      <c r="BC2736" s="377"/>
      <c r="BD2736" s="377"/>
      <c r="BE2736" s="377"/>
      <c r="BF2736" s="377"/>
      <c r="BG2736" s="377"/>
      <c r="BH2736" s="377"/>
      <c r="BI2736" s="377"/>
      <c r="BJ2736" s="377"/>
      <c r="BK2736" s="377"/>
      <c r="BL2736" s="377"/>
      <c r="BM2736" s="377"/>
      <c r="BN2736" s="377"/>
      <c r="BO2736" s="377"/>
      <c r="BP2736" s="377"/>
      <c r="BQ2736" s="377"/>
    </row>
    <row r="2737" spans="1:69" s="426" customFormat="1" hidden="1" outlineLevel="1">
      <c r="A2737" s="448" t="s">
        <v>330</v>
      </c>
      <c r="B2737" s="392"/>
      <c r="C2737" s="414"/>
      <c r="D2737" s="490"/>
      <c r="E2737" s="424"/>
      <c r="F2737" s="443"/>
      <c r="G2737" s="525"/>
      <c r="H2737" s="385" t="s">
        <v>354</v>
      </c>
      <c r="I2737" s="511">
        <v>0</v>
      </c>
      <c r="J2737" s="425" t="s">
        <v>365</v>
      </c>
      <c r="K2737" s="464"/>
      <c r="L2737" s="464"/>
      <c r="M2737" s="423"/>
      <c r="N2737" s="423"/>
      <c r="O2737" s="377"/>
      <c r="P2737" s="377"/>
      <c r="Q2737" s="377"/>
      <c r="R2737" s="377"/>
      <c r="S2737" s="377"/>
      <c r="T2737" s="377"/>
      <c r="U2737" s="377"/>
      <c r="V2737" s="377"/>
      <c r="W2737" s="377"/>
      <c r="X2737" s="377"/>
      <c r="Y2737" s="377"/>
      <c r="Z2737" s="377"/>
      <c r="AA2737" s="377"/>
      <c r="AB2737" s="377"/>
      <c r="AC2737" s="377"/>
      <c r="AD2737" s="377"/>
      <c r="AE2737" s="377"/>
      <c r="AF2737" s="377"/>
      <c r="AG2737" s="377"/>
      <c r="AH2737" s="377"/>
      <c r="AI2737" s="377"/>
      <c r="AJ2737" s="377"/>
      <c r="AK2737" s="377"/>
      <c r="AL2737" s="377"/>
      <c r="AM2737" s="377"/>
      <c r="AN2737" s="377"/>
      <c r="AO2737" s="377"/>
      <c r="AP2737" s="377"/>
      <c r="AQ2737" s="377"/>
      <c r="AR2737" s="377"/>
      <c r="AS2737" s="377"/>
      <c r="AT2737" s="377"/>
      <c r="AU2737" s="377"/>
      <c r="AV2737" s="377"/>
      <c r="AW2737" s="377"/>
      <c r="AX2737" s="377"/>
      <c r="AY2737" s="377"/>
      <c r="AZ2737" s="377"/>
      <c r="BA2737" s="377"/>
      <c r="BB2737" s="377"/>
      <c r="BC2737" s="377"/>
      <c r="BD2737" s="377"/>
      <c r="BE2737" s="377"/>
      <c r="BF2737" s="377"/>
      <c r="BG2737" s="377"/>
      <c r="BH2737" s="377"/>
      <c r="BI2737" s="377"/>
      <c r="BJ2737" s="377"/>
      <c r="BK2737" s="377"/>
      <c r="BL2737" s="377"/>
      <c r="BM2737" s="377"/>
      <c r="BN2737" s="377"/>
      <c r="BO2737" s="377"/>
      <c r="BP2737" s="377"/>
      <c r="BQ2737" s="377"/>
    </row>
    <row r="2738" spans="1:69" s="426" customFormat="1" hidden="1" outlineLevel="1">
      <c r="A2738" s="448" t="s">
        <v>331</v>
      </c>
      <c r="B2738" s="392"/>
      <c r="C2738" s="414"/>
      <c r="D2738" s="490"/>
      <c r="E2738" s="424"/>
      <c r="F2738" s="443"/>
      <c r="G2738" s="525"/>
      <c r="H2738" s="385" t="s">
        <v>352</v>
      </c>
      <c r="I2738" s="511">
        <v>0</v>
      </c>
      <c r="J2738" s="425" t="s">
        <v>365</v>
      </c>
      <c r="K2738" s="464"/>
      <c r="L2738" s="464"/>
      <c r="M2738" s="423"/>
      <c r="N2738" s="423"/>
      <c r="O2738" s="377"/>
      <c r="P2738" s="377"/>
      <c r="Q2738" s="377"/>
      <c r="R2738" s="377"/>
      <c r="S2738" s="377"/>
      <c r="T2738" s="377"/>
      <c r="U2738" s="377"/>
      <c r="V2738" s="377"/>
      <c r="W2738" s="377"/>
      <c r="X2738" s="377"/>
      <c r="Y2738" s="377"/>
      <c r="Z2738" s="377"/>
      <c r="AA2738" s="377"/>
      <c r="AB2738" s="377"/>
      <c r="AC2738" s="377"/>
      <c r="AD2738" s="377"/>
      <c r="AE2738" s="377"/>
      <c r="AF2738" s="377"/>
      <c r="AG2738" s="377"/>
      <c r="AH2738" s="377"/>
      <c r="AI2738" s="377"/>
      <c r="AJ2738" s="377"/>
      <c r="AK2738" s="377"/>
      <c r="AL2738" s="377"/>
      <c r="AM2738" s="377"/>
      <c r="AN2738" s="377"/>
      <c r="AO2738" s="377"/>
      <c r="AP2738" s="377"/>
      <c r="AQ2738" s="377"/>
      <c r="AR2738" s="377"/>
      <c r="AS2738" s="377"/>
      <c r="AT2738" s="377"/>
      <c r="AU2738" s="377"/>
      <c r="AV2738" s="377"/>
      <c r="AW2738" s="377"/>
      <c r="AX2738" s="377"/>
      <c r="AY2738" s="377"/>
      <c r="AZ2738" s="377"/>
      <c r="BA2738" s="377"/>
      <c r="BB2738" s="377"/>
      <c r="BC2738" s="377"/>
      <c r="BD2738" s="377"/>
      <c r="BE2738" s="377"/>
      <c r="BF2738" s="377"/>
      <c r="BG2738" s="377"/>
      <c r="BH2738" s="377"/>
      <c r="BI2738" s="377"/>
      <c r="BJ2738" s="377"/>
      <c r="BK2738" s="377"/>
      <c r="BL2738" s="377"/>
      <c r="BM2738" s="377"/>
      <c r="BN2738" s="377"/>
      <c r="BO2738" s="377"/>
      <c r="BP2738" s="377"/>
      <c r="BQ2738" s="377"/>
    </row>
    <row r="2739" spans="1:69" s="426" customFormat="1" hidden="1" outlineLevel="1">
      <c r="A2739" s="448" t="s">
        <v>334</v>
      </c>
      <c r="B2739" s="392"/>
      <c r="C2739" s="414"/>
      <c r="D2739" s="490"/>
      <c r="E2739" s="424"/>
      <c r="F2739" s="443"/>
      <c r="G2739" s="525"/>
      <c r="H2739" s="385" t="s">
        <v>357</v>
      </c>
      <c r="I2739" s="511">
        <v>1</v>
      </c>
      <c r="J2739" s="425" t="s">
        <v>365</v>
      </c>
      <c r="K2739" s="464"/>
      <c r="L2739" s="464"/>
      <c r="M2739" s="423"/>
      <c r="N2739" s="423"/>
      <c r="O2739" s="377"/>
      <c r="P2739" s="377"/>
      <c r="Q2739" s="377"/>
      <c r="R2739" s="377"/>
      <c r="S2739" s="377"/>
      <c r="T2739" s="377"/>
      <c r="U2739" s="377"/>
      <c r="V2739" s="377"/>
      <c r="W2739" s="377"/>
      <c r="X2739" s="377"/>
      <c r="Y2739" s="377"/>
      <c r="Z2739" s="377"/>
      <c r="AA2739" s="377"/>
      <c r="AB2739" s="377"/>
      <c r="AC2739" s="377"/>
      <c r="AD2739" s="377"/>
      <c r="AE2739" s="377"/>
      <c r="AF2739" s="377"/>
      <c r="AG2739" s="377"/>
      <c r="AH2739" s="377"/>
      <c r="AI2739" s="377"/>
      <c r="AJ2739" s="377"/>
      <c r="AK2739" s="377"/>
      <c r="AL2739" s="377"/>
      <c r="AM2739" s="377"/>
      <c r="AN2739" s="377"/>
      <c r="AO2739" s="377"/>
      <c r="AP2739" s="377"/>
      <c r="AQ2739" s="377"/>
      <c r="AR2739" s="377"/>
      <c r="AS2739" s="377"/>
      <c r="AT2739" s="377"/>
      <c r="AU2739" s="377"/>
      <c r="AV2739" s="377"/>
      <c r="AW2739" s="377"/>
      <c r="AX2739" s="377"/>
      <c r="AY2739" s="377"/>
      <c r="AZ2739" s="377"/>
      <c r="BA2739" s="377"/>
      <c r="BB2739" s="377"/>
      <c r="BC2739" s="377"/>
      <c r="BD2739" s="377"/>
      <c r="BE2739" s="377"/>
      <c r="BF2739" s="377"/>
      <c r="BG2739" s="377"/>
      <c r="BH2739" s="377"/>
      <c r="BI2739" s="377"/>
      <c r="BJ2739" s="377"/>
      <c r="BK2739" s="377"/>
      <c r="BL2739" s="377"/>
      <c r="BM2739" s="377"/>
      <c r="BN2739" s="377"/>
      <c r="BO2739" s="377"/>
      <c r="BP2739" s="377"/>
      <c r="BQ2739" s="377"/>
    </row>
    <row r="2740" spans="1:69" s="426" customFormat="1" hidden="1" outlineLevel="1">
      <c r="A2740" s="448" t="s">
        <v>337</v>
      </c>
      <c r="B2740" s="392"/>
      <c r="C2740" s="414"/>
      <c r="D2740" s="490"/>
      <c r="E2740" s="424"/>
      <c r="F2740" s="443"/>
      <c r="G2740" s="525"/>
      <c r="H2740" s="385" t="s">
        <v>358</v>
      </c>
      <c r="I2740" s="511">
        <v>13</v>
      </c>
      <c r="J2740" s="425" t="s">
        <v>365</v>
      </c>
      <c r="K2740" s="464"/>
      <c r="L2740" s="464"/>
      <c r="M2740" s="423"/>
      <c r="N2740" s="423"/>
      <c r="O2740" s="377"/>
      <c r="P2740" s="377"/>
      <c r="Q2740" s="377"/>
      <c r="R2740" s="377"/>
      <c r="S2740" s="377"/>
      <c r="T2740" s="377"/>
      <c r="U2740" s="377"/>
      <c r="V2740" s="377"/>
      <c r="W2740" s="377"/>
      <c r="X2740" s="377"/>
      <c r="Y2740" s="377"/>
      <c r="Z2740" s="377"/>
      <c r="AA2740" s="377"/>
      <c r="AB2740" s="377"/>
      <c r="AC2740" s="377"/>
      <c r="AD2740" s="377"/>
      <c r="AE2740" s="377"/>
      <c r="AF2740" s="377"/>
      <c r="AG2740" s="377"/>
      <c r="AH2740" s="377"/>
      <c r="AI2740" s="377"/>
      <c r="AJ2740" s="377"/>
      <c r="AK2740" s="377"/>
      <c r="AL2740" s="377"/>
      <c r="AM2740" s="377"/>
      <c r="AN2740" s="377"/>
      <c r="AO2740" s="377"/>
      <c r="AP2740" s="377"/>
      <c r="AQ2740" s="377"/>
      <c r="AR2740" s="377"/>
      <c r="AS2740" s="377"/>
      <c r="AT2740" s="377"/>
      <c r="AU2740" s="377"/>
      <c r="AV2740" s="377"/>
      <c r="AW2740" s="377"/>
      <c r="AX2740" s="377"/>
      <c r="AY2740" s="377"/>
      <c r="AZ2740" s="377"/>
      <c r="BA2740" s="377"/>
      <c r="BB2740" s="377"/>
      <c r="BC2740" s="377"/>
      <c r="BD2740" s="377"/>
      <c r="BE2740" s="377"/>
      <c r="BF2740" s="377"/>
      <c r="BG2740" s="377"/>
      <c r="BH2740" s="377"/>
      <c r="BI2740" s="377"/>
      <c r="BJ2740" s="377"/>
      <c r="BK2740" s="377"/>
      <c r="BL2740" s="377"/>
      <c r="BM2740" s="377"/>
      <c r="BN2740" s="377"/>
      <c r="BO2740" s="377"/>
      <c r="BP2740" s="377"/>
      <c r="BQ2740" s="377"/>
    </row>
    <row r="2741" spans="1:69" s="426" customFormat="1" hidden="1" outlineLevel="1">
      <c r="A2741" s="448" t="s">
        <v>339</v>
      </c>
      <c r="B2741" s="392"/>
      <c r="C2741" s="414"/>
      <c r="D2741" s="490"/>
      <c r="E2741" s="424"/>
      <c r="F2741" s="443"/>
      <c r="G2741" s="525"/>
      <c r="H2741" s="385" t="s">
        <v>359</v>
      </c>
      <c r="I2741" s="511">
        <v>13</v>
      </c>
      <c r="J2741" s="425" t="s">
        <v>365</v>
      </c>
      <c r="K2741" s="464"/>
      <c r="L2741" s="464"/>
      <c r="M2741" s="423"/>
      <c r="N2741" s="423"/>
      <c r="O2741" s="377"/>
      <c r="P2741" s="377"/>
      <c r="Q2741" s="377"/>
      <c r="R2741" s="377"/>
      <c r="S2741" s="377"/>
      <c r="T2741" s="377"/>
      <c r="U2741" s="377"/>
      <c r="V2741" s="377"/>
      <c r="W2741" s="377"/>
      <c r="X2741" s="377"/>
      <c r="Y2741" s="377"/>
      <c r="Z2741" s="377"/>
      <c r="AA2741" s="377"/>
      <c r="AB2741" s="377"/>
      <c r="AC2741" s="377"/>
      <c r="AD2741" s="377"/>
      <c r="AE2741" s="377"/>
      <c r="AF2741" s="377"/>
      <c r="AG2741" s="377"/>
      <c r="AH2741" s="377"/>
      <c r="AI2741" s="377"/>
      <c r="AJ2741" s="377"/>
      <c r="AK2741" s="377"/>
      <c r="AL2741" s="377"/>
      <c r="AM2741" s="377"/>
      <c r="AN2741" s="377"/>
      <c r="AO2741" s="377"/>
      <c r="AP2741" s="377"/>
      <c r="AQ2741" s="377"/>
      <c r="AR2741" s="377"/>
      <c r="AS2741" s="377"/>
      <c r="AT2741" s="377"/>
      <c r="AU2741" s="377"/>
      <c r="AV2741" s="377"/>
      <c r="AW2741" s="377"/>
      <c r="AX2741" s="377"/>
      <c r="AY2741" s="377"/>
      <c r="AZ2741" s="377"/>
      <c r="BA2741" s="377"/>
      <c r="BB2741" s="377"/>
      <c r="BC2741" s="377"/>
      <c r="BD2741" s="377"/>
      <c r="BE2741" s="377"/>
      <c r="BF2741" s="377"/>
      <c r="BG2741" s="377"/>
      <c r="BH2741" s="377"/>
      <c r="BI2741" s="377"/>
      <c r="BJ2741" s="377"/>
      <c r="BK2741" s="377"/>
      <c r="BL2741" s="377"/>
      <c r="BM2741" s="377"/>
      <c r="BN2741" s="377"/>
      <c r="BO2741" s="377"/>
      <c r="BP2741" s="377"/>
      <c r="BQ2741" s="377"/>
    </row>
    <row r="2742" spans="1:69" s="426" customFormat="1" hidden="1" outlineLevel="1">
      <c r="A2742" s="448" t="s">
        <v>360</v>
      </c>
      <c r="B2742" s="392"/>
      <c r="C2742" s="414"/>
      <c r="D2742" s="490"/>
      <c r="E2742" s="424"/>
      <c r="F2742" s="443"/>
      <c r="G2742" s="525"/>
      <c r="H2742" s="385" t="s">
        <v>347</v>
      </c>
      <c r="I2742" s="511">
        <v>31</v>
      </c>
      <c r="J2742" s="425" t="s">
        <v>365</v>
      </c>
      <c r="K2742" s="464"/>
      <c r="L2742" s="464"/>
      <c r="M2742" s="423"/>
      <c r="N2742" s="423"/>
      <c r="O2742" s="377"/>
      <c r="P2742" s="377"/>
      <c r="Q2742" s="377"/>
      <c r="R2742" s="377"/>
      <c r="S2742" s="377"/>
      <c r="T2742" s="377"/>
      <c r="U2742" s="377"/>
      <c r="V2742" s="377"/>
      <c r="W2742" s="377"/>
      <c r="X2742" s="377"/>
      <c r="Y2742" s="377"/>
      <c r="Z2742" s="377"/>
      <c r="AA2742" s="377"/>
      <c r="AB2742" s="377"/>
      <c r="AC2742" s="377"/>
      <c r="AD2742" s="377"/>
      <c r="AE2742" s="377"/>
      <c r="AF2742" s="377"/>
      <c r="AG2742" s="377"/>
      <c r="AH2742" s="377"/>
      <c r="AI2742" s="377"/>
      <c r="AJ2742" s="377"/>
      <c r="AK2742" s="377"/>
      <c r="AL2742" s="377"/>
      <c r="AM2742" s="377"/>
      <c r="AN2742" s="377"/>
      <c r="AO2742" s="377"/>
      <c r="AP2742" s="377"/>
      <c r="AQ2742" s="377"/>
      <c r="AR2742" s="377"/>
      <c r="AS2742" s="377"/>
      <c r="AT2742" s="377"/>
      <c r="AU2742" s="377"/>
      <c r="AV2742" s="377"/>
      <c r="AW2742" s="377"/>
      <c r="AX2742" s="377"/>
      <c r="AY2742" s="377"/>
      <c r="AZ2742" s="377"/>
      <c r="BA2742" s="377"/>
      <c r="BB2742" s="377"/>
      <c r="BC2742" s="377"/>
      <c r="BD2742" s="377"/>
      <c r="BE2742" s="377"/>
      <c r="BF2742" s="377"/>
      <c r="BG2742" s="377"/>
      <c r="BH2742" s="377"/>
      <c r="BI2742" s="377"/>
      <c r="BJ2742" s="377"/>
      <c r="BK2742" s="377"/>
      <c r="BL2742" s="377"/>
      <c r="BM2742" s="377"/>
      <c r="BN2742" s="377"/>
      <c r="BO2742" s="377"/>
      <c r="BP2742" s="377"/>
      <c r="BQ2742" s="377"/>
    </row>
    <row r="2743" spans="1:69" s="426" customFormat="1" hidden="1" outlineLevel="1">
      <c r="A2743" s="448" t="s">
        <v>361</v>
      </c>
      <c r="B2743" s="392"/>
      <c r="C2743" s="414"/>
      <c r="D2743" s="490"/>
      <c r="E2743" s="424"/>
      <c r="F2743" s="443"/>
      <c r="G2743" s="525"/>
      <c r="H2743" s="385" t="s">
        <v>355</v>
      </c>
      <c r="I2743" s="511">
        <v>0</v>
      </c>
      <c r="J2743" s="425" t="s">
        <v>365</v>
      </c>
      <c r="K2743" s="464"/>
      <c r="L2743" s="464"/>
      <c r="M2743" s="423"/>
      <c r="N2743" s="423"/>
      <c r="O2743" s="377"/>
      <c r="P2743" s="377"/>
      <c r="Q2743" s="377"/>
      <c r="R2743" s="377"/>
      <c r="S2743" s="377"/>
      <c r="T2743" s="377"/>
      <c r="U2743" s="377"/>
      <c r="V2743" s="377"/>
      <c r="W2743" s="377"/>
      <c r="X2743" s="377"/>
      <c r="Y2743" s="377"/>
      <c r="Z2743" s="377"/>
      <c r="AA2743" s="377"/>
      <c r="AB2743" s="377"/>
      <c r="AC2743" s="377"/>
      <c r="AD2743" s="377"/>
      <c r="AE2743" s="377"/>
      <c r="AF2743" s="377"/>
      <c r="AG2743" s="377"/>
      <c r="AH2743" s="377"/>
      <c r="AI2743" s="377"/>
      <c r="AJ2743" s="377"/>
      <c r="AK2743" s="377"/>
      <c r="AL2743" s="377"/>
      <c r="AM2743" s="377"/>
      <c r="AN2743" s="377"/>
      <c r="AO2743" s="377"/>
      <c r="AP2743" s="377"/>
      <c r="AQ2743" s="377"/>
      <c r="AR2743" s="377"/>
      <c r="AS2743" s="377"/>
      <c r="AT2743" s="377"/>
      <c r="AU2743" s="377"/>
      <c r="AV2743" s="377"/>
      <c r="AW2743" s="377"/>
      <c r="AX2743" s="377"/>
      <c r="AY2743" s="377"/>
      <c r="AZ2743" s="377"/>
      <c r="BA2743" s="377"/>
      <c r="BB2743" s="377"/>
      <c r="BC2743" s="377"/>
      <c r="BD2743" s="377"/>
      <c r="BE2743" s="377"/>
      <c r="BF2743" s="377"/>
      <c r="BG2743" s="377"/>
      <c r="BH2743" s="377"/>
      <c r="BI2743" s="377"/>
      <c r="BJ2743" s="377"/>
      <c r="BK2743" s="377"/>
      <c r="BL2743" s="377"/>
      <c r="BM2743" s="377"/>
      <c r="BN2743" s="377"/>
      <c r="BO2743" s="377"/>
      <c r="BP2743" s="377"/>
      <c r="BQ2743" s="377"/>
    </row>
    <row r="2744" spans="1:69" s="426" customFormat="1" hidden="1" outlineLevel="1">
      <c r="A2744" s="448" t="s">
        <v>362</v>
      </c>
      <c r="B2744" s="392"/>
      <c r="C2744" s="414"/>
      <c r="D2744" s="490"/>
      <c r="E2744" s="424"/>
      <c r="F2744" s="443"/>
      <c r="G2744" s="525"/>
      <c r="H2744" s="385" t="s">
        <v>356</v>
      </c>
      <c r="I2744" s="511">
        <v>10</v>
      </c>
      <c r="J2744" s="425" t="s">
        <v>365</v>
      </c>
      <c r="K2744" s="464"/>
      <c r="L2744" s="464"/>
      <c r="M2744" s="423"/>
      <c r="N2744" s="423"/>
      <c r="O2744" s="377"/>
      <c r="P2744" s="377"/>
      <c r="Q2744" s="377"/>
      <c r="R2744" s="377"/>
      <c r="S2744" s="377"/>
      <c r="T2744" s="377"/>
      <c r="U2744" s="377"/>
      <c r="V2744" s="377"/>
      <c r="W2744" s="377"/>
      <c r="X2744" s="377"/>
      <c r="Y2744" s="377"/>
      <c r="Z2744" s="377"/>
      <c r="AA2744" s="377"/>
      <c r="AB2744" s="377"/>
      <c r="AC2744" s="377"/>
      <c r="AD2744" s="377"/>
      <c r="AE2744" s="377"/>
      <c r="AF2744" s="377"/>
      <c r="AG2744" s="377"/>
      <c r="AH2744" s="377"/>
      <c r="AI2744" s="377"/>
      <c r="AJ2744" s="377"/>
      <c r="AK2744" s="377"/>
      <c r="AL2744" s="377"/>
      <c r="AM2744" s="377"/>
      <c r="AN2744" s="377"/>
      <c r="AO2744" s="377"/>
      <c r="AP2744" s="377"/>
      <c r="AQ2744" s="377"/>
      <c r="AR2744" s="377"/>
      <c r="AS2744" s="377"/>
      <c r="AT2744" s="377"/>
      <c r="AU2744" s="377"/>
      <c r="AV2744" s="377"/>
      <c r="AW2744" s="377"/>
      <c r="AX2744" s="377"/>
      <c r="AY2744" s="377"/>
      <c r="AZ2744" s="377"/>
      <c r="BA2744" s="377"/>
      <c r="BB2744" s="377"/>
      <c r="BC2744" s="377"/>
      <c r="BD2744" s="377"/>
      <c r="BE2744" s="377"/>
      <c r="BF2744" s="377"/>
      <c r="BG2744" s="377"/>
      <c r="BH2744" s="377"/>
      <c r="BI2744" s="377"/>
      <c r="BJ2744" s="377"/>
      <c r="BK2744" s="377"/>
      <c r="BL2744" s="377"/>
      <c r="BM2744" s="377"/>
      <c r="BN2744" s="377"/>
      <c r="BO2744" s="377"/>
      <c r="BP2744" s="377"/>
      <c r="BQ2744" s="377"/>
    </row>
    <row r="2745" spans="1:69" s="426" customFormat="1" ht="40.5" hidden="1" outlineLevel="1">
      <c r="A2745" s="448" t="s">
        <v>363</v>
      </c>
      <c r="B2745" s="392"/>
      <c r="C2745" s="414"/>
      <c r="D2745" s="490"/>
      <c r="E2745" s="424"/>
      <c r="F2745" s="443"/>
      <c r="G2745" s="525"/>
      <c r="H2745" s="401" t="s">
        <v>385</v>
      </c>
      <c r="I2745" s="512">
        <f>I2747+I2749+I2751</f>
        <v>609.62649999999985</v>
      </c>
      <c r="J2745" s="425" t="s">
        <v>365</v>
      </c>
      <c r="K2745" s="464"/>
      <c r="L2745" s="464"/>
      <c r="M2745" s="423"/>
      <c r="N2745" s="423"/>
      <c r="O2745" s="377"/>
      <c r="P2745" s="377"/>
      <c r="Q2745" s="377"/>
      <c r="R2745" s="377"/>
      <c r="S2745" s="377"/>
      <c r="T2745" s="377"/>
      <c r="U2745" s="377"/>
      <c r="V2745" s="377"/>
      <c r="W2745" s="377"/>
      <c r="X2745" s="377"/>
      <c r="Y2745" s="377"/>
      <c r="Z2745" s="377"/>
      <c r="AA2745" s="377"/>
      <c r="AB2745" s="377"/>
      <c r="AC2745" s="377"/>
      <c r="AD2745" s="377"/>
      <c r="AE2745" s="377"/>
      <c r="AF2745" s="377"/>
      <c r="AG2745" s="377"/>
      <c r="AH2745" s="377"/>
      <c r="AI2745" s="377"/>
      <c r="AJ2745" s="377"/>
      <c r="AK2745" s="377"/>
      <c r="AL2745" s="377"/>
      <c r="AM2745" s="377"/>
      <c r="AN2745" s="377"/>
      <c r="AO2745" s="377"/>
      <c r="AP2745" s="377"/>
      <c r="AQ2745" s="377"/>
      <c r="AR2745" s="377"/>
      <c r="AS2745" s="377"/>
      <c r="AT2745" s="377"/>
      <c r="AU2745" s="377"/>
      <c r="AV2745" s="377"/>
      <c r="AW2745" s="377"/>
      <c r="AX2745" s="377"/>
      <c r="AY2745" s="377"/>
      <c r="AZ2745" s="377"/>
      <c r="BA2745" s="377"/>
      <c r="BB2745" s="377"/>
      <c r="BC2745" s="377"/>
      <c r="BD2745" s="377"/>
      <c r="BE2745" s="377"/>
      <c r="BF2745" s="377"/>
      <c r="BG2745" s="377"/>
      <c r="BH2745" s="377"/>
      <c r="BI2745" s="377"/>
      <c r="BJ2745" s="377"/>
      <c r="BK2745" s="377"/>
      <c r="BL2745" s="377"/>
      <c r="BM2745" s="377"/>
      <c r="BN2745" s="377"/>
      <c r="BO2745" s="377"/>
      <c r="BP2745" s="377"/>
      <c r="BQ2745" s="377"/>
    </row>
    <row r="2746" spans="1:69" s="426" customFormat="1" hidden="1" outlineLevel="1">
      <c r="A2746" s="448" t="s">
        <v>364</v>
      </c>
      <c r="B2746" s="392"/>
      <c r="C2746" s="414"/>
      <c r="D2746" s="490"/>
      <c r="E2746" s="424"/>
      <c r="F2746" s="443"/>
      <c r="G2746" s="525"/>
      <c r="H2746" s="401" t="s">
        <v>386</v>
      </c>
      <c r="I2746" s="513">
        <f>I2748+I2750</f>
        <v>75.16</v>
      </c>
      <c r="J2746" s="425" t="s">
        <v>365</v>
      </c>
      <c r="K2746" s="464"/>
      <c r="L2746" s="464"/>
      <c r="M2746" s="423"/>
      <c r="N2746" s="423"/>
      <c r="O2746" s="377"/>
      <c r="P2746" s="377"/>
      <c r="Q2746" s="377"/>
      <c r="R2746" s="377"/>
      <c r="S2746" s="377"/>
      <c r="T2746" s="377"/>
      <c r="U2746" s="377"/>
      <c r="V2746" s="377"/>
      <c r="W2746" s="377"/>
      <c r="X2746" s="377"/>
      <c r="Y2746" s="377"/>
      <c r="Z2746" s="377"/>
      <c r="AA2746" s="377"/>
      <c r="AB2746" s="377"/>
      <c r="AC2746" s="377"/>
      <c r="AD2746" s="377"/>
      <c r="AE2746" s="377"/>
      <c r="AF2746" s="377"/>
      <c r="AG2746" s="377"/>
      <c r="AH2746" s="377"/>
      <c r="AI2746" s="377"/>
      <c r="AJ2746" s="377"/>
      <c r="AK2746" s="377"/>
      <c r="AL2746" s="377"/>
      <c r="AM2746" s="377"/>
      <c r="AN2746" s="377"/>
      <c r="AO2746" s="377"/>
      <c r="AP2746" s="377"/>
      <c r="AQ2746" s="377"/>
      <c r="AR2746" s="377"/>
      <c r="AS2746" s="377"/>
      <c r="AT2746" s="377"/>
      <c r="AU2746" s="377"/>
      <c r="AV2746" s="377"/>
      <c r="AW2746" s="377"/>
      <c r="AX2746" s="377"/>
      <c r="AY2746" s="377"/>
      <c r="AZ2746" s="377"/>
      <c r="BA2746" s="377"/>
      <c r="BB2746" s="377"/>
      <c r="BC2746" s="377"/>
      <c r="BD2746" s="377"/>
      <c r="BE2746" s="377"/>
      <c r="BF2746" s="377"/>
      <c r="BG2746" s="377"/>
      <c r="BH2746" s="377"/>
      <c r="BI2746" s="377"/>
      <c r="BJ2746" s="377"/>
      <c r="BK2746" s="377"/>
      <c r="BL2746" s="377"/>
      <c r="BM2746" s="377"/>
      <c r="BN2746" s="377"/>
      <c r="BO2746" s="377"/>
      <c r="BP2746" s="377"/>
      <c r="BQ2746" s="377"/>
    </row>
    <row r="2747" spans="1:69" s="426" customFormat="1" ht="40.5" hidden="1" outlineLevel="1">
      <c r="A2747" s="448"/>
      <c r="B2747" s="392"/>
      <c r="C2747" s="414"/>
      <c r="D2747" s="490"/>
      <c r="E2747" s="424"/>
      <c r="F2747" s="443"/>
      <c r="G2747" s="525"/>
      <c r="H2747" s="401" t="s">
        <v>381</v>
      </c>
      <c r="I2747" s="517">
        <f>N1320+N1321+N1322+N1324+N1327+N1328+N1330+N1331+N1333+N1334+N1336+N1337+N1341+N1342+N1346+N1348+N1349+N1352+N1353+N1355+N1356+N1358+N1359+N1361+N1362+N1364+N1367+N1410</f>
        <v>412.05699999999996</v>
      </c>
      <c r="J2747" s="425" t="s">
        <v>365</v>
      </c>
      <c r="K2747" s="464"/>
      <c r="L2747" s="464"/>
      <c r="M2747" s="423"/>
      <c r="N2747" s="423"/>
      <c r="O2747" s="377"/>
      <c r="P2747" s="377"/>
      <c r="Q2747" s="377"/>
      <c r="R2747" s="377"/>
      <c r="S2747" s="377"/>
      <c r="T2747" s="377"/>
      <c r="U2747" s="377"/>
      <c r="V2747" s="377"/>
      <c r="W2747" s="377"/>
      <c r="X2747" s="377"/>
      <c r="Y2747" s="377"/>
      <c r="Z2747" s="377"/>
      <c r="AA2747" s="377"/>
      <c r="AB2747" s="377"/>
      <c r="AC2747" s="377"/>
      <c r="AD2747" s="377"/>
      <c r="AE2747" s="377"/>
      <c r="AF2747" s="377"/>
      <c r="AG2747" s="377"/>
      <c r="AH2747" s="377"/>
      <c r="AI2747" s="377"/>
      <c r="AJ2747" s="377"/>
      <c r="AK2747" s="377"/>
      <c r="AL2747" s="377"/>
      <c r="AM2747" s="377"/>
      <c r="AN2747" s="377"/>
      <c r="AO2747" s="377"/>
      <c r="AP2747" s="377"/>
      <c r="AQ2747" s="377"/>
      <c r="AR2747" s="377"/>
      <c r="AS2747" s="377"/>
      <c r="AT2747" s="377"/>
      <c r="AU2747" s="377"/>
      <c r="AV2747" s="377"/>
      <c r="AW2747" s="377"/>
      <c r="AX2747" s="377"/>
      <c r="AY2747" s="377"/>
      <c r="AZ2747" s="377"/>
      <c r="BA2747" s="377"/>
      <c r="BB2747" s="377"/>
      <c r="BC2747" s="377"/>
      <c r="BD2747" s="377"/>
      <c r="BE2747" s="377"/>
      <c r="BF2747" s="377"/>
      <c r="BG2747" s="377"/>
      <c r="BH2747" s="377"/>
      <c r="BI2747" s="377"/>
      <c r="BJ2747" s="377"/>
      <c r="BK2747" s="377"/>
      <c r="BL2747" s="377"/>
      <c r="BM2747" s="377"/>
      <c r="BN2747" s="377"/>
      <c r="BO2747" s="377"/>
      <c r="BP2747" s="377"/>
      <c r="BQ2747" s="377"/>
    </row>
    <row r="2748" spans="1:69" s="426" customFormat="1" hidden="1" outlineLevel="1">
      <c r="A2748" s="448"/>
      <c r="B2748" s="392"/>
      <c r="C2748" s="414"/>
      <c r="D2748" s="490"/>
      <c r="E2748" s="424"/>
      <c r="F2748" s="443"/>
      <c r="G2748" s="525"/>
      <c r="H2748" s="401" t="s">
        <v>382</v>
      </c>
      <c r="I2748" s="517">
        <f>N1322+N1324</f>
        <v>70.86</v>
      </c>
      <c r="J2748" s="425" t="s">
        <v>365</v>
      </c>
      <c r="K2748" s="464"/>
      <c r="L2748" s="464"/>
      <c r="M2748" s="423"/>
      <c r="N2748" s="423"/>
      <c r="O2748" s="377"/>
      <c r="P2748" s="377"/>
      <c r="Q2748" s="377"/>
      <c r="R2748" s="377"/>
      <c r="S2748" s="377"/>
      <c r="T2748" s="377"/>
      <c r="U2748" s="377"/>
      <c r="V2748" s="377"/>
      <c r="W2748" s="377"/>
      <c r="X2748" s="377"/>
      <c r="Y2748" s="377"/>
      <c r="Z2748" s="377"/>
      <c r="AA2748" s="377"/>
      <c r="AB2748" s="377"/>
      <c r="AC2748" s="377"/>
      <c r="AD2748" s="377"/>
      <c r="AE2748" s="377"/>
      <c r="AF2748" s="377"/>
      <c r="AG2748" s="377"/>
      <c r="AH2748" s="377"/>
      <c r="AI2748" s="377"/>
      <c r="AJ2748" s="377"/>
      <c r="AK2748" s="377"/>
      <c r="AL2748" s="377"/>
      <c r="AM2748" s="377"/>
      <c r="AN2748" s="377"/>
      <c r="AO2748" s="377"/>
      <c r="AP2748" s="377"/>
      <c r="AQ2748" s="377"/>
      <c r="AR2748" s="377"/>
      <c r="AS2748" s="377"/>
      <c r="AT2748" s="377"/>
      <c r="AU2748" s="377"/>
      <c r="AV2748" s="377"/>
      <c r="AW2748" s="377"/>
      <c r="AX2748" s="377"/>
      <c r="AY2748" s="377"/>
      <c r="AZ2748" s="377"/>
      <c r="BA2748" s="377"/>
      <c r="BB2748" s="377"/>
      <c r="BC2748" s="377"/>
      <c r="BD2748" s="377"/>
      <c r="BE2748" s="377"/>
      <c r="BF2748" s="377"/>
      <c r="BG2748" s="377"/>
      <c r="BH2748" s="377"/>
      <c r="BI2748" s="377"/>
      <c r="BJ2748" s="377"/>
      <c r="BK2748" s="377"/>
      <c r="BL2748" s="377"/>
      <c r="BM2748" s="377"/>
      <c r="BN2748" s="377"/>
      <c r="BO2748" s="377"/>
      <c r="BP2748" s="377"/>
      <c r="BQ2748" s="377"/>
    </row>
    <row r="2749" spans="1:69" s="426" customFormat="1" ht="40.5" hidden="1" outlineLevel="1">
      <c r="A2749" s="448"/>
      <c r="B2749" s="392"/>
      <c r="C2749" s="414"/>
      <c r="D2749" s="490"/>
      <c r="E2749" s="424"/>
      <c r="F2749" s="443"/>
      <c r="G2749" s="525"/>
      <c r="H2749" s="401" t="s">
        <v>383</v>
      </c>
      <c r="I2749" s="517">
        <f>N1415+N1416+N1418+N1419+N1421+N1422+N1439+N1442+N1446+N1448+N1458+N1466+N1470+N1474+N1478+N1482+N1486+N1492+N1494+N1505+N1508+N1510+N1511+N1513+N1514+N1516+N1517+N1519+N1520+N1522+N1523+N1524+N1526+N1527+N1528+N1530+N1532</f>
        <v>151.0675</v>
      </c>
      <c r="J2749" s="425" t="s">
        <v>365</v>
      </c>
      <c r="K2749" s="464"/>
      <c r="L2749" s="464"/>
      <c r="M2749" s="423"/>
      <c r="N2749" s="423"/>
      <c r="O2749" s="377"/>
      <c r="P2749" s="377"/>
      <c r="Q2749" s="377"/>
      <c r="R2749" s="377"/>
      <c r="S2749" s="377"/>
      <c r="T2749" s="377"/>
      <c r="U2749" s="377"/>
      <c r="V2749" s="377"/>
      <c r="W2749" s="377"/>
      <c r="X2749" s="377"/>
      <c r="Y2749" s="377"/>
      <c r="Z2749" s="377"/>
      <c r="AA2749" s="377"/>
      <c r="AB2749" s="377"/>
      <c r="AC2749" s="377"/>
      <c r="AD2749" s="377"/>
      <c r="AE2749" s="377"/>
      <c r="AF2749" s="377"/>
      <c r="AG2749" s="377"/>
      <c r="AH2749" s="377"/>
      <c r="AI2749" s="377"/>
      <c r="AJ2749" s="377"/>
      <c r="AK2749" s="377"/>
      <c r="AL2749" s="377"/>
      <c r="AM2749" s="377"/>
      <c r="AN2749" s="377"/>
      <c r="AO2749" s="377"/>
      <c r="AP2749" s="377"/>
      <c r="AQ2749" s="377"/>
      <c r="AR2749" s="377"/>
      <c r="AS2749" s="377"/>
      <c r="AT2749" s="377"/>
      <c r="AU2749" s="377"/>
      <c r="AV2749" s="377"/>
      <c r="AW2749" s="377"/>
      <c r="AX2749" s="377"/>
      <c r="AY2749" s="377"/>
      <c r="AZ2749" s="377"/>
      <c r="BA2749" s="377"/>
      <c r="BB2749" s="377"/>
      <c r="BC2749" s="377"/>
      <c r="BD2749" s="377"/>
      <c r="BE2749" s="377"/>
      <c r="BF2749" s="377"/>
      <c r="BG2749" s="377"/>
      <c r="BH2749" s="377"/>
      <c r="BI2749" s="377"/>
      <c r="BJ2749" s="377"/>
      <c r="BK2749" s="377"/>
      <c r="BL2749" s="377"/>
      <c r="BM2749" s="377"/>
      <c r="BN2749" s="377"/>
      <c r="BO2749" s="377"/>
      <c r="BP2749" s="377"/>
      <c r="BQ2749" s="377"/>
    </row>
    <row r="2750" spans="1:69" s="426" customFormat="1" hidden="1" outlineLevel="1">
      <c r="A2750" s="448"/>
      <c r="B2750" s="392"/>
      <c r="C2750" s="414"/>
      <c r="D2750" s="490"/>
      <c r="E2750" s="424"/>
      <c r="F2750" s="443"/>
      <c r="G2750" s="525"/>
      <c r="H2750" s="401" t="s">
        <v>384</v>
      </c>
      <c r="I2750" s="517">
        <f>N1524+N1528</f>
        <v>4.3000000000000007</v>
      </c>
      <c r="J2750" s="425" t="s">
        <v>365</v>
      </c>
      <c r="K2750" s="464"/>
      <c r="L2750" s="464"/>
      <c r="M2750" s="423"/>
      <c r="N2750" s="423"/>
      <c r="O2750" s="377"/>
      <c r="P2750" s="377"/>
      <c r="Q2750" s="377"/>
      <c r="R2750" s="377"/>
      <c r="S2750" s="377"/>
      <c r="T2750" s="377"/>
      <c r="U2750" s="377"/>
      <c r="V2750" s="377"/>
      <c r="W2750" s="377"/>
      <c r="X2750" s="377"/>
      <c r="Y2750" s="377"/>
      <c r="Z2750" s="377"/>
      <c r="AA2750" s="377"/>
      <c r="AB2750" s="377"/>
      <c r="AC2750" s="377"/>
      <c r="AD2750" s="377"/>
      <c r="AE2750" s="377"/>
      <c r="AF2750" s="377"/>
      <c r="AG2750" s="377"/>
      <c r="AH2750" s="377"/>
      <c r="AI2750" s="377"/>
      <c r="AJ2750" s="377"/>
      <c r="AK2750" s="377"/>
      <c r="AL2750" s="377"/>
      <c r="AM2750" s="377"/>
      <c r="AN2750" s="377"/>
      <c r="AO2750" s="377"/>
      <c r="AP2750" s="377"/>
      <c r="AQ2750" s="377"/>
      <c r="AR2750" s="377"/>
      <c r="AS2750" s="377"/>
      <c r="AT2750" s="377"/>
      <c r="AU2750" s="377"/>
      <c r="AV2750" s="377"/>
      <c r="AW2750" s="377"/>
      <c r="AX2750" s="377"/>
      <c r="AY2750" s="377"/>
      <c r="AZ2750" s="377"/>
      <c r="BA2750" s="377"/>
      <c r="BB2750" s="377"/>
      <c r="BC2750" s="377"/>
      <c r="BD2750" s="377"/>
      <c r="BE2750" s="377"/>
      <c r="BF2750" s="377"/>
      <c r="BG2750" s="377"/>
      <c r="BH2750" s="377"/>
      <c r="BI2750" s="377"/>
      <c r="BJ2750" s="377"/>
      <c r="BK2750" s="377"/>
      <c r="BL2750" s="377"/>
      <c r="BM2750" s="377"/>
      <c r="BN2750" s="377"/>
      <c r="BO2750" s="377"/>
      <c r="BP2750" s="377"/>
      <c r="BQ2750" s="377"/>
    </row>
    <row r="2751" spans="1:69" s="426" customFormat="1" ht="40.5" hidden="1" outlineLevel="1">
      <c r="A2751" s="448"/>
      <c r="B2751" s="392"/>
      <c r="C2751" s="414"/>
      <c r="D2751" s="490"/>
      <c r="E2751" s="424"/>
      <c r="F2751" s="443"/>
      <c r="G2751" s="525"/>
      <c r="H2751" s="401" t="s">
        <v>387</v>
      </c>
      <c r="I2751" s="517">
        <v>46.50200000000001</v>
      </c>
      <c r="J2751" s="425" t="s">
        <v>365</v>
      </c>
      <c r="K2751" s="464"/>
      <c r="L2751" s="464"/>
      <c r="M2751" s="423"/>
      <c r="N2751" s="423"/>
      <c r="O2751" s="377"/>
      <c r="P2751" s="377"/>
      <c r="Q2751" s="377"/>
      <c r="R2751" s="377"/>
      <c r="S2751" s="377"/>
      <c r="T2751" s="377"/>
      <c r="U2751" s="377"/>
      <c r="V2751" s="377"/>
      <c r="W2751" s="377"/>
      <c r="X2751" s="377"/>
      <c r="Y2751" s="377"/>
      <c r="Z2751" s="377"/>
      <c r="AA2751" s="377"/>
      <c r="AB2751" s="377"/>
      <c r="AC2751" s="377"/>
      <c r="AD2751" s="377"/>
      <c r="AE2751" s="377"/>
      <c r="AF2751" s="377"/>
      <c r="AG2751" s="377"/>
      <c r="AH2751" s="377"/>
      <c r="AI2751" s="377"/>
      <c r="AJ2751" s="377"/>
      <c r="AK2751" s="377"/>
      <c r="AL2751" s="377"/>
      <c r="AM2751" s="377"/>
      <c r="AN2751" s="377"/>
      <c r="AO2751" s="377"/>
      <c r="AP2751" s="377"/>
      <c r="AQ2751" s="377"/>
      <c r="AR2751" s="377"/>
      <c r="AS2751" s="377"/>
      <c r="AT2751" s="377"/>
      <c r="AU2751" s="377"/>
      <c r="AV2751" s="377"/>
      <c r="AW2751" s="377"/>
      <c r="AX2751" s="377"/>
      <c r="AY2751" s="377"/>
      <c r="AZ2751" s="377"/>
      <c r="BA2751" s="377"/>
      <c r="BB2751" s="377"/>
      <c r="BC2751" s="377"/>
      <c r="BD2751" s="377"/>
      <c r="BE2751" s="377"/>
      <c r="BF2751" s="377"/>
      <c r="BG2751" s="377"/>
      <c r="BH2751" s="377"/>
      <c r="BI2751" s="377"/>
      <c r="BJ2751" s="377"/>
      <c r="BK2751" s="377"/>
      <c r="BL2751" s="377"/>
      <c r="BM2751" s="377"/>
      <c r="BN2751" s="377"/>
      <c r="BO2751" s="377"/>
      <c r="BP2751" s="377"/>
      <c r="BQ2751" s="377"/>
    </row>
    <row r="2752" spans="1:69" s="426" customFormat="1" hidden="1" outlineLevel="1">
      <c r="A2752" s="448"/>
      <c r="B2752" s="392"/>
      <c r="C2752" s="414"/>
      <c r="D2752" s="490"/>
      <c r="E2752" s="424"/>
      <c r="F2752" s="443"/>
      <c r="G2752" s="525"/>
      <c r="H2752" s="401" t="s">
        <v>388</v>
      </c>
      <c r="I2752" s="511">
        <v>0</v>
      </c>
      <c r="J2752" s="425" t="s">
        <v>365</v>
      </c>
      <c r="K2752" s="464"/>
      <c r="L2752" s="464"/>
      <c r="M2752" s="423"/>
      <c r="N2752" s="423"/>
      <c r="O2752" s="377"/>
      <c r="P2752" s="377"/>
      <c r="Q2752" s="377"/>
      <c r="R2752" s="377"/>
      <c r="S2752" s="377"/>
      <c r="T2752" s="377"/>
      <c r="U2752" s="377"/>
      <c r="V2752" s="377"/>
      <c r="W2752" s="377"/>
      <c r="X2752" s="377"/>
      <c r="Y2752" s="377"/>
      <c r="Z2752" s="377"/>
      <c r="AA2752" s="377"/>
      <c r="AB2752" s="377"/>
      <c r="AC2752" s="377"/>
      <c r="AD2752" s="377"/>
      <c r="AE2752" s="377"/>
      <c r="AF2752" s="377"/>
      <c r="AG2752" s="377"/>
      <c r="AH2752" s="377"/>
      <c r="AI2752" s="377"/>
      <c r="AJ2752" s="377"/>
      <c r="AK2752" s="377"/>
      <c r="AL2752" s="377"/>
      <c r="AM2752" s="377"/>
      <c r="AN2752" s="377"/>
      <c r="AO2752" s="377"/>
      <c r="AP2752" s="377"/>
      <c r="AQ2752" s="377"/>
      <c r="AR2752" s="377"/>
      <c r="AS2752" s="377"/>
      <c r="AT2752" s="377"/>
      <c r="AU2752" s="377"/>
      <c r="AV2752" s="377"/>
      <c r="AW2752" s="377"/>
      <c r="AX2752" s="377"/>
      <c r="AY2752" s="377"/>
      <c r="AZ2752" s="377"/>
      <c r="BA2752" s="377"/>
      <c r="BB2752" s="377"/>
      <c r="BC2752" s="377"/>
      <c r="BD2752" s="377"/>
      <c r="BE2752" s="377"/>
      <c r="BF2752" s="377"/>
      <c r="BG2752" s="377"/>
      <c r="BH2752" s="377"/>
      <c r="BI2752" s="377"/>
      <c r="BJ2752" s="377"/>
      <c r="BK2752" s="377"/>
      <c r="BL2752" s="377"/>
      <c r="BM2752" s="377"/>
      <c r="BN2752" s="377"/>
      <c r="BO2752" s="377"/>
      <c r="BP2752" s="377"/>
      <c r="BQ2752" s="377"/>
    </row>
    <row r="2753" spans="1:69" s="426" customFormat="1" ht="40.5" hidden="1" outlineLevel="1">
      <c r="A2753" s="448"/>
      <c r="B2753" s="392"/>
      <c r="C2753" s="414"/>
      <c r="D2753" s="490"/>
      <c r="E2753" s="424"/>
      <c r="F2753" s="443"/>
      <c r="G2753" s="525"/>
      <c r="H2753" s="401" t="s">
        <v>389</v>
      </c>
      <c r="I2753" s="511">
        <v>0</v>
      </c>
      <c r="J2753" s="425" t="s">
        <v>365</v>
      </c>
      <c r="K2753" s="464"/>
      <c r="L2753" s="464"/>
      <c r="M2753" s="423"/>
      <c r="N2753" s="423"/>
      <c r="O2753" s="377"/>
      <c r="P2753" s="377"/>
      <c r="Q2753" s="377"/>
      <c r="R2753" s="377"/>
      <c r="S2753" s="377"/>
      <c r="T2753" s="377"/>
      <c r="U2753" s="377"/>
      <c r="V2753" s="377"/>
      <c r="W2753" s="377"/>
      <c r="X2753" s="377"/>
      <c r="Y2753" s="377"/>
      <c r="Z2753" s="377"/>
      <c r="AA2753" s="377"/>
      <c r="AB2753" s="377"/>
      <c r="AC2753" s="377"/>
      <c r="AD2753" s="377"/>
      <c r="AE2753" s="377"/>
      <c r="AF2753" s="377"/>
      <c r="AG2753" s="377"/>
      <c r="AH2753" s="377"/>
      <c r="AI2753" s="377"/>
      <c r="AJ2753" s="377"/>
      <c r="AK2753" s="377"/>
      <c r="AL2753" s="377"/>
      <c r="AM2753" s="377"/>
      <c r="AN2753" s="377"/>
      <c r="AO2753" s="377"/>
      <c r="AP2753" s="377"/>
      <c r="AQ2753" s="377"/>
      <c r="AR2753" s="377"/>
      <c r="AS2753" s="377"/>
      <c r="AT2753" s="377"/>
      <c r="AU2753" s="377"/>
      <c r="AV2753" s="377"/>
      <c r="AW2753" s="377"/>
      <c r="AX2753" s="377"/>
      <c r="AY2753" s="377"/>
      <c r="AZ2753" s="377"/>
      <c r="BA2753" s="377"/>
      <c r="BB2753" s="377"/>
      <c r="BC2753" s="377"/>
      <c r="BD2753" s="377"/>
      <c r="BE2753" s="377"/>
      <c r="BF2753" s="377"/>
      <c r="BG2753" s="377"/>
      <c r="BH2753" s="377"/>
      <c r="BI2753" s="377"/>
      <c r="BJ2753" s="377"/>
      <c r="BK2753" s="377"/>
      <c r="BL2753" s="377"/>
      <c r="BM2753" s="377"/>
      <c r="BN2753" s="377"/>
      <c r="BO2753" s="377"/>
      <c r="BP2753" s="377"/>
      <c r="BQ2753" s="377"/>
    </row>
    <row r="2754" spans="1:69" s="426" customFormat="1" hidden="1" outlineLevel="1">
      <c r="A2754" s="448"/>
      <c r="B2754" s="392"/>
      <c r="C2754" s="414"/>
      <c r="D2754" s="490"/>
      <c r="E2754" s="424"/>
      <c r="F2754" s="443"/>
      <c r="G2754" s="525"/>
      <c r="H2754" s="401" t="s">
        <v>390</v>
      </c>
      <c r="I2754" s="511">
        <v>0</v>
      </c>
      <c r="J2754" s="425" t="s">
        <v>365</v>
      </c>
      <c r="K2754" s="464"/>
      <c r="L2754" s="464"/>
      <c r="M2754" s="423"/>
      <c r="N2754" s="423"/>
      <c r="O2754" s="377"/>
      <c r="P2754" s="377"/>
      <c r="Q2754" s="377"/>
      <c r="R2754" s="377"/>
      <c r="S2754" s="377"/>
      <c r="T2754" s="377"/>
      <c r="U2754" s="377"/>
      <c r="V2754" s="377"/>
      <c r="W2754" s="377"/>
      <c r="X2754" s="377"/>
      <c r="Y2754" s="377"/>
      <c r="Z2754" s="377"/>
      <c r="AA2754" s="377"/>
      <c r="AB2754" s="377"/>
      <c r="AC2754" s="377"/>
      <c r="AD2754" s="377"/>
      <c r="AE2754" s="377"/>
      <c r="AF2754" s="377"/>
      <c r="AG2754" s="377"/>
      <c r="AH2754" s="377"/>
      <c r="AI2754" s="377"/>
      <c r="AJ2754" s="377"/>
      <c r="AK2754" s="377"/>
      <c r="AL2754" s="377"/>
      <c r="AM2754" s="377"/>
      <c r="AN2754" s="377"/>
      <c r="AO2754" s="377"/>
      <c r="AP2754" s="377"/>
      <c r="AQ2754" s="377"/>
      <c r="AR2754" s="377"/>
      <c r="AS2754" s="377"/>
      <c r="AT2754" s="377"/>
      <c r="AU2754" s="377"/>
      <c r="AV2754" s="377"/>
      <c r="AW2754" s="377"/>
      <c r="AX2754" s="377"/>
      <c r="AY2754" s="377"/>
      <c r="AZ2754" s="377"/>
      <c r="BA2754" s="377"/>
      <c r="BB2754" s="377"/>
      <c r="BC2754" s="377"/>
      <c r="BD2754" s="377"/>
      <c r="BE2754" s="377"/>
      <c r="BF2754" s="377"/>
      <c r="BG2754" s="377"/>
      <c r="BH2754" s="377"/>
      <c r="BI2754" s="377"/>
      <c r="BJ2754" s="377"/>
      <c r="BK2754" s="377"/>
      <c r="BL2754" s="377"/>
      <c r="BM2754" s="377"/>
      <c r="BN2754" s="377"/>
      <c r="BO2754" s="377"/>
      <c r="BP2754" s="377"/>
      <c r="BQ2754" s="377"/>
    </row>
    <row r="2755" spans="1:69" s="426" customFormat="1" hidden="1" outlineLevel="1">
      <c r="A2755" s="447"/>
      <c r="B2755" s="377"/>
      <c r="C2755" s="421"/>
      <c r="D2755" s="523"/>
      <c r="E2755" s="427"/>
      <c r="F2755" s="444"/>
      <c r="G2755" s="526"/>
      <c r="H2755" s="381"/>
      <c r="I2755" s="515"/>
      <c r="J2755" s="428"/>
      <c r="K2755" s="465"/>
      <c r="L2755" s="465"/>
      <c r="O2755" s="377"/>
      <c r="P2755" s="377"/>
      <c r="Q2755" s="377"/>
      <c r="R2755" s="377"/>
      <c r="S2755" s="377"/>
      <c r="T2755" s="377"/>
      <c r="U2755" s="377"/>
      <c r="V2755" s="377"/>
      <c r="W2755" s="377"/>
      <c r="X2755" s="377"/>
      <c r="Y2755" s="377"/>
      <c r="Z2755" s="377"/>
      <c r="AA2755" s="377"/>
      <c r="AB2755" s="377"/>
      <c r="AC2755" s="377"/>
      <c r="AD2755" s="377"/>
      <c r="AE2755" s="377"/>
      <c r="AF2755" s="377"/>
      <c r="AG2755" s="377"/>
      <c r="AH2755" s="377"/>
      <c r="AI2755" s="377"/>
      <c r="AJ2755" s="377"/>
      <c r="AK2755" s="377"/>
      <c r="AL2755" s="377"/>
      <c r="AM2755" s="377"/>
      <c r="AN2755" s="377"/>
      <c r="AO2755" s="377"/>
      <c r="AP2755" s="377"/>
      <c r="AQ2755" s="377"/>
      <c r="AR2755" s="377"/>
      <c r="AS2755" s="377"/>
      <c r="AT2755" s="377"/>
      <c r="AU2755" s="377"/>
      <c r="AV2755" s="377"/>
      <c r="AW2755" s="377"/>
      <c r="AX2755" s="377"/>
      <c r="AY2755" s="377"/>
      <c r="AZ2755" s="377"/>
      <c r="BA2755" s="377"/>
      <c r="BB2755" s="377"/>
      <c r="BC2755" s="377"/>
      <c r="BD2755" s="377"/>
      <c r="BE2755" s="377"/>
      <c r="BF2755" s="377"/>
      <c r="BG2755" s="377"/>
      <c r="BH2755" s="377"/>
      <c r="BI2755" s="377"/>
      <c r="BJ2755" s="377"/>
      <c r="BK2755" s="377"/>
      <c r="BL2755" s="377"/>
      <c r="BM2755" s="377"/>
      <c r="BN2755" s="377"/>
      <c r="BO2755" s="377"/>
      <c r="BP2755" s="377"/>
      <c r="BQ2755" s="377"/>
    </row>
    <row r="2756" spans="1:69" s="426" customFormat="1" ht="26.25" hidden="1" outlineLevel="1">
      <c r="A2756" s="447"/>
      <c r="B2756" s="377"/>
      <c r="C2756" s="421"/>
      <c r="D2756" s="523"/>
      <c r="E2756" s="427"/>
      <c r="F2756" s="444"/>
      <c r="G2756" s="526"/>
      <c r="H2756" s="488" t="s">
        <v>369</v>
      </c>
      <c r="I2756" s="515"/>
      <c r="J2756" s="428"/>
      <c r="K2756" s="465"/>
      <c r="L2756" s="465"/>
      <c r="O2756" s="377"/>
      <c r="P2756" s="377"/>
      <c r="Q2756" s="377"/>
      <c r="R2756" s="377"/>
      <c r="S2756" s="377"/>
      <c r="T2756" s="377"/>
      <c r="U2756" s="377"/>
      <c r="V2756" s="377"/>
      <c r="W2756" s="377"/>
      <c r="X2756" s="377"/>
      <c r="Y2756" s="377"/>
      <c r="Z2756" s="377"/>
      <c r="AA2756" s="377"/>
      <c r="AB2756" s="377"/>
      <c r="AC2756" s="377"/>
      <c r="AD2756" s="377"/>
      <c r="AE2756" s="377"/>
      <c r="AF2756" s="377"/>
      <c r="AG2756" s="377"/>
      <c r="AH2756" s="377"/>
      <c r="AI2756" s="377"/>
      <c r="AJ2756" s="377"/>
      <c r="AK2756" s="377"/>
      <c r="AL2756" s="377"/>
      <c r="AM2756" s="377"/>
      <c r="AN2756" s="377"/>
      <c r="AO2756" s="377"/>
      <c r="AP2756" s="377"/>
      <c r="AQ2756" s="377"/>
      <c r="AR2756" s="377"/>
      <c r="AS2756" s="377"/>
      <c r="AT2756" s="377"/>
      <c r="AU2756" s="377"/>
      <c r="AV2756" s="377"/>
      <c r="AW2756" s="377"/>
      <c r="AX2756" s="377"/>
      <c r="AY2756" s="377"/>
      <c r="AZ2756" s="377"/>
      <c r="BA2756" s="377"/>
      <c r="BB2756" s="377"/>
      <c r="BC2756" s="377"/>
      <c r="BD2756" s="377"/>
      <c r="BE2756" s="377"/>
      <c r="BF2756" s="377"/>
      <c r="BG2756" s="377"/>
      <c r="BH2756" s="377"/>
      <c r="BI2756" s="377"/>
      <c r="BJ2756" s="377"/>
      <c r="BK2756" s="377"/>
      <c r="BL2756" s="377"/>
      <c r="BM2756" s="377"/>
      <c r="BN2756" s="377"/>
      <c r="BO2756" s="377"/>
      <c r="BP2756" s="377"/>
      <c r="BQ2756" s="377"/>
    </row>
    <row r="2757" spans="1:69" s="426" customFormat="1" hidden="1" outlineLevel="1">
      <c r="A2757" s="447"/>
      <c r="B2757" s="377"/>
      <c r="C2757" s="421"/>
      <c r="D2757" s="523"/>
      <c r="E2757" s="427"/>
      <c r="F2757" s="444"/>
      <c r="G2757" s="526"/>
      <c r="H2757" s="381"/>
      <c r="I2757" s="515"/>
      <c r="J2757" s="428"/>
      <c r="K2757" s="465"/>
      <c r="L2757" s="465"/>
      <c r="O2757" s="377"/>
      <c r="P2757" s="377"/>
      <c r="Q2757" s="377"/>
      <c r="R2757" s="377"/>
      <c r="S2757" s="377"/>
      <c r="T2757" s="377"/>
      <c r="U2757" s="377"/>
      <c r="V2757" s="377"/>
      <c r="W2757" s="377"/>
      <c r="X2757" s="377"/>
      <c r="Y2757" s="377"/>
      <c r="Z2757" s="377"/>
      <c r="AA2757" s="377"/>
      <c r="AB2757" s="377"/>
      <c r="AC2757" s="377"/>
      <c r="AD2757" s="377"/>
      <c r="AE2757" s="377"/>
      <c r="AF2757" s="377"/>
      <c r="AG2757" s="377"/>
      <c r="AH2757" s="377"/>
      <c r="AI2757" s="377"/>
      <c r="AJ2757" s="377"/>
      <c r="AK2757" s="377"/>
      <c r="AL2757" s="377"/>
      <c r="AM2757" s="377"/>
      <c r="AN2757" s="377"/>
      <c r="AO2757" s="377"/>
      <c r="AP2757" s="377"/>
      <c r="AQ2757" s="377"/>
      <c r="AR2757" s="377"/>
      <c r="AS2757" s="377"/>
      <c r="AT2757" s="377"/>
      <c r="AU2757" s="377"/>
      <c r="AV2757" s="377"/>
      <c r="AW2757" s="377"/>
      <c r="AX2757" s="377"/>
      <c r="AY2757" s="377"/>
      <c r="AZ2757" s="377"/>
      <c r="BA2757" s="377"/>
      <c r="BB2757" s="377"/>
      <c r="BC2757" s="377"/>
      <c r="BD2757" s="377"/>
      <c r="BE2757" s="377"/>
      <c r="BF2757" s="377"/>
      <c r="BG2757" s="377"/>
      <c r="BH2757" s="377"/>
      <c r="BI2757" s="377"/>
      <c r="BJ2757" s="377"/>
      <c r="BK2757" s="377"/>
      <c r="BL2757" s="377"/>
      <c r="BM2757" s="377"/>
      <c r="BN2757" s="377"/>
      <c r="BO2757" s="377"/>
      <c r="BP2757" s="377"/>
      <c r="BQ2757" s="377"/>
    </row>
    <row r="2758" spans="1:69" s="426" customFormat="1" hidden="1" outlineLevel="1">
      <c r="A2758" s="448" t="s">
        <v>326</v>
      </c>
      <c r="B2758" s="392"/>
      <c r="C2758" s="414"/>
      <c r="D2758" s="490"/>
      <c r="E2758" s="424"/>
      <c r="F2758" s="443"/>
      <c r="G2758" s="525"/>
      <c r="H2758" s="385" t="s">
        <v>353</v>
      </c>
      <c r="I2758" s="511"/>
      <c r="J2758" s="425" t="s">
        <v>367</v>
      </c>
      <c r="K2758" s="464"/>
      <c r="L2758" s="464"/>
      <c r="M2758" s="423"/>
      <c r="N2758" s="423"/>
      <c r="O2758" s="377"/>
      <c r="P2758" s="377"/>
      <c r="Q2758" s="377"/>
      <c r="R2758" s="377"/>
      <c r="S2758" s="377"/>
      <c r="T2758" s="377"/>
      <c r="U2758" s="377"/>
      <c r="V2758" s="377"/>
      <c r="W2758" s="377"/>
      <c r="X2758" s="377"/>
      <c r="Y2758" s="377"/>
      <c r="Z2758" s="377"/>
      <c r="AA2758" s="377"/>
      <c r="AB2758" s="377"/>
      <c r="AC2758" s="377"/>
      <c r="AD2758" s="377"/>
      <c r="AE2758" s="377"/>
      <c r="AF2758" s="377"/>
      <c r="AG2758" s="377"/>
      <c r="AH2758" s="377"/>
      <c r="AI2758" s="377"/>
      <c r="AJ2758" s="377"/>
      <c r="AK2758" s="377"/>
      <c r="AL2758" s="377"/>
      <c r="AM2758" s="377"/>
      <c r="AN2758" s="377"/>
      <c r="AO2758" s="377"/>
      <c r="AP2758" s="377"/>
      <c r="AQ2758" s="377"/>
      <c r="AR2758" s="377"/>
      <c r="AS2758" s="377"/>
      <c r="AT2758" s="377"/>
      <c r="AU2758" s="377"/>
      <c r="AV2758" s="377"/>
      <c r="AW2758" s="377"/>
      <c r="AX2758" s="377"/>
      <c r="AY2758" s="377"/>
      <c r="AZ2758" s="377"/>
      <c r="BA2758" s="377"/>
      <c r="BB2758" s="377"/>
      <c r="BC2758" s="377"/>
      <c r="BD2758" s="377"/>
      <c r="BE2758" s="377"/>
      <c r="BF2758" s="377"/>
      <c r="BG2758" s="377"/>
      <c r="BH2758" s="377"/>
      <c r="BI2758" s="377"/>
      <c r="BJ2758" s="377"/>
      <c r="BK2758" s="377"/>
      <c r="BL2758" s="377"/>
      <c r="BM2758" s="377"/>
      <c r="BN2758" s="377"/>
      <c r="BO2758" s="377"/>
      <c r="BP2758" s="377"/>
      <c r="BQ2758" s="377"/>
    </row>
    <row r="2759" spans="1:69" s="426" customFormat="1" hidden="1" outlineLevel="1">
      <c r="A2759" s="448" t="s">
        <v>325</v>
      </c>
      <c r="B2759" s="392"/>
      <c r="C2759" s="414"/>
      <c r="D2759" s="490"/>
      <c r="E2759" s="424"/>
      <c r="F2759" s="443"/>
      <c r="G2759" s="525"/>
      <c r="H2759" s="385" t="s">
        <v>354</v>
      </c>
      <c r="I2759" s="511"/>
      <c r="J2759" s="425" t="s">
        <v>367</v>
      </c>
      <c r="K2759" s="464"/>
      <c r="L2759" s="464"/>
      <c r="M2759" s="423"/>
      <c r="N2759" s="423"/>
      <c r="O2759" s="377"/>
      <c r="P2759" s="377"/>
      <c r="Q2759" s="377"/>
      <c r="R2759" s="377"/>
      <c r="S2759" s="377"/>
      <c r="T2759" s="377"/>
      <c r="U2759" s="377"/>
      <c r="V2759" s="377"/>
      <c r="W2759" s="377"/>
      <c r="X2759" s="377"/>
      <c r="Y2759" s="377"/>
      <c r="Z2759" s="377"/>
      <c r="AA2759" s="377"/>
      <c r="AB2759" s="377"/>
      <c r="AC2759" s="377"/>
      <c r="AD2759" s="377"/>
      <c r="AE2759" s="377"/>
      <c r="AF2759" s="377"/>
      <c r="AG2759" s="377"/>
      <c r="AH2759" s="377"/>
      <c r="AI2759" s="377"/>
      <c r="AJ2759" s="377"/>
      <c r="AK2759" s="377"/>
      <c r="AL2759" s="377"/>
      <c r="AM2759" s="377"/>
      <c r="AN2759" s="377"/>
      <c r="AO2759" s="377"/>
      <c r="AP2759" s="377"/>
      <c r="AQ2759" s="377"/>
      <c r="AR2759" s="377"/>
      <c r="AS2759" s="377"/>
      <c r="AT2759" s="377"/>
      <c r="AU2759" s="377"/>
      <c r="AV2759" s="377"/>
      <c r="AW2759" s="377"/>
      <c r="AX2759" s="377"/>
      <c r="AY2759" s="377"/>
      <c r="AZ2759" s="377"/>
      <c r="BA2759" s="377"/>
      <c r="BB2759" s="377"/>
      <c r="BC2759" s="377"/>
      <c r="BD2759" s="377"/>
      <c r="BE2759" s="377"/>
      <c r="BF2759" s="377"/>
      <c r="BG2759" s="377"/>
      <c r="BH2759" s="377"/>
      <c r="BI2759" s="377"/>
      <c r="BJ2759" s="377"/>
      <c r="BK2759" s="377"/>
      <c r="BL2759" s="377"/>
      <c r="BM2759" s="377"/>
      <c r="BN2759" s="377"/>
      <c r="BO2759" s="377"/>
      <c r="BP2759" s="377"/>
      <c r="BQ2759" s="377"/>
    </row>
    <row r="2760" spans="1:69" s="426" customFormat="1" hidden="1" outlineLevel="1">
      <c r="A2760" s="448" t="s">
        <v>327</v>
      </c>
      <c r="B2760" s="392"/>
      <c r="C2760" s="414"/>
      <c r="D2760" s="490"/>
      <c r="E2760" s="424"/>
      <c r="F2760" s="443"/>
      <c r="G2760" s="525"/>
      <c r="H2760" s="385" t="s">
        <v>352</v>
      </c>
      <c r="I2760" s="511"/>
      <c r="J2760" s="425" t="s">
        <v>367</v>
      </c>
      <c r="K2760" s="464"/>
      <c r="L2760" s="464"/>
      <c r="M2760" s="423"/>
      <c r="N2760" s="423"/>
      <c r="O2760" s="377"/>
      <c r="P2760" s="377"/>
      <c r="Q2760" s="377"/>
      <c r="R2760" s="377"/>
      <c r="S2760" s="377"/>
      <c r="T2760" s="377"/>
      <c r="U2760" s="377"/>
      <c r="V2760" s="377"/>
      <c r="W2760" s="377"/>
      <c r="X2760" s="377"/>
      <c r="Y2760" s="377"/>
      <c r="Z2760" s="377"/>
      <c r="AA2760" s="377"/>
      <c r="AB2760" s="377"/>
      <c r="AC2760" s="377"/>
      <c r="AD2760" s="377"/>
      <c r="AE2760" s="377"/>
      <c r="AF2760" s="377"/>
      <c r="AG2760" s="377"/>
      <c r="AH2760" s="377"/>
      <c r="AI2760" s="377"/>
      <c r="AJ2760" s="377"/>
      <c r="AK2760" s="377"/>
      <c r="AL2760" s="377"/>
      <c r="AM2760" s="377"/>
      <c r="AN2760" s="377"/>
      <c r="AO2760" s="377"/>
      <c r="AP2760" s="377"/>
      <c r="AQ2760" s="377"/>
      <c r="AR2760" s="377"/>
      <c r="AS2760" s="377"/>
      <c r="AT2760" s="377"/>
      <c r="AU2760" s="377"/>
      <c r="AV2760" s="377"/>
      <c r="AW2760" s="377"/>
      <c r="AX2760" s="377"/>
      <c r="AY2760" s="377"/>
      <c r="AZ2760" s="377"/>
      <c r="BA2760" s="377"/>
      <c r="BB2760" s="377"/>
      <c r="BC2760" s="377"/>
      <c r="BD2760" s="377"/>
      <c r="BE2760" s="377"/>
      <c r="BF2760" s="377"/>
      <c r="BG2760" s="377"/>
      <c r="BH2760" s="377"/>
      <c r="BI2760" s="377"/>
      <c r="BJ2760" s="377"/>
      <c r="BK2760" s="377"/>
      <c r="BL2760" s="377"/>
      <c r="BM2760" s="377"/>
      <c r="BN2760" s="377"/>
      <c r="BO2760" s="377"/>
      <c r="BP2760" s="377"/>
      <c r="BQ2760" s="377"/>
    </row>
    <row r="2761" spans="1:69" s="426" customFormat="1" hidden="1" outlineLevel="1">
      <c r="A2761" s="448" t="s">
        <v>328</v>
      </c>
      <c r="B2761" s="392"/>
      <c r="C2761" s="414"/>
      <c r="D2761" s="490"/>
      <c r="E2761" s="424"/>
      <c r="F2761" s="443"/>
      <c r="G2761" s="525"/>
      <c r="H2761" s="385" t="s">
        <v>357</v>
      </c>
      <c r="I2761" s="511"/>
      <c r="J2761" s="425" t="s">
        <v>367</v>
      </c>
      <c r="K2761" s="464"/>
      <c r="L2761" s="464"/>
      <c r="M2761" s="423"/>
      <c r="N2761" s="423"/>
      <c r="O2761" s="377"/>
      <c r="P2761" s="377"/>
      <c r="Q2761" s="377"/>
      <c r="R2761" s="377"/>
      <c r="S2761" s="377"/>
      <c r="T2761" s="377"/>
      <c r="U2761" s="377"/>
      <c r="V2761" s="377"/>
      <c r="W2761" s="377"/>
      <c r="X2761" s="377"/>
      <c r="Y2761" s="377"/>
      <c r="Z2761" s="377"/>
      <c r="AA2761" s="377"/>
      <c r="AB2761" s="377"/>
      <c r="AC2761" s="377"/>
      <c r="AD2761" s="377"/>
      <c r="AE2761" s="377"/>
      <c r="AF2761" s="377"/>
      <c r="AG2761" s="377"/>
      <c r="AH2761" s="377"/>
      <c r="AI2761" s="377"/>
      <c r="AJ2761" s="377"/>
      <c r="AK2761" s="377"/>
      <c r="AL2761" s="377"/>
      <c r="AM2761" s="377"/>
      <c r="AN2761" s="377"/>
      <c r="AO2761" s="377"/>
      <c r="AP2761" s="377"/>
      <c r="AQ2761" s="377"/>
      <c r="AR2761" s="377"/>
      <c r="AS2761" s="377"/>
      <c r="AT2761" s="377"/>
      <c r="AU2761" s="377"/>
      <c r="AV2761" s="377"/>
      <c r="AW2761" s="377"/>
      <c r="AX2761" s="377"/>
      <c r="AY2761" s="377"/>
      <c r="AZ2761" s="377"/>
      <c r="BA2761" s="377"/>
      <c r="BB2761" s="377"/>
      <c r="BC2761" s="377"/>
      <c r="BD2761" s="377"/>
      <c r="BE2761" s="377"/>
      <c r="BF2761" s="377"/>
      <c r="BG2761" s="377"/>
      <c r="BH2761" s="377"/>
      <c r="BI2761" s="377"/>
      <c r="BJ2761" s="377"/>
      <c r="BK2761" s="377"/>
      <c r="BL2761" s="377"/>
      <c r="BM2761" s="377"/>
      <c r="BN2761" s="377"/>
      <c r="BO2761" s="377"/>
      <c r="BP2761" s="377"/>
      <c r="BQ2761" s="377"/>
    </row>
    <row r="2762" spans="1:69" s="426" customFormat="1" hidden="1" outlineLevel="1">
      <c r="A2762" s="448" t="s">
        <v>329</v>
      </c>
      <c r="B2762" s="392"/>
      <c r="C2762" s="414"/>
      <c r="D2762" s="490"/>
      <c r="E2762" s="424"/>
      <c r="F2762" s="443"/>
      <c r="G2762" s="525"/>
      <c r="H2762" s="385" t="s">
        <v>358</v>
      </c>
      <c r="I2762" s="511"/>
      <c r="J2762" s="425" t="s">
        <v>367</v>
      </c>
      <c r="K2762" s="464"/>
      <c r="L2762" s="464"/>
      <c r="M2762" s="423"/>
      <c r="N2762" s="423"/>
      <c r="O2762" s="377"/>
      <c r="P2762" s="377"/>
      <c r="Q2762" s="377"/>
      <c r="R2762" s="377"/>
      <c r="S2762" s="377"/>
      <c r="T2762" s="377"/>
      <c r="U2762" s="377"/>
      <c r="V2762" s="377"/>
      <c r="W2762" s="377"/>
      <c r="X2762" s="377"/>
      <c r="Y2762" s="377"/>
      <c r="Z2762" s="377"/>
      <c r="AA2762" s="377"/>
      <c r="AB2762" s="377"/>
      <c r="AC2762" s="377"/>
      <c r="AD2762" s="377"/>
      <c r="AE2762" s="377"/>
      <c r="AF2762" s="377"/>
      <c r="AG2762" s="377"/>
      <c r="AH2762" s="377"/>
      <c r="AI2762" s="377"/>
      <c r="AJ2762" s="377"/>
      <c r="AK2762" s="377"/>
      <c r="AL2762" s="377"/>
      <c r="AM2762" s="377"/>
      <c r="AN2762" s="377"/>
      <c r="AO2762" s="377"/>
      <c r="AP2762" s="377"/>
      <c r="AQ2762" s="377"/>
      <c r="AR2762" s="377"/>
      <c r="AS2762" s="377"/>
      <c r="AT2762" s="377"/>
      <c r="AU2762" s="377"/>
      <c r="AV2762" s="377"/>
      <c r="AW2762" s="377"/>
      <c r="AX2762" s="377"/>
      <c r="AY2762" s="377"/>
      <c r="AZ2762" s="377"/>
      <c r="BA2762" s="377"/>
      <c r="BB2762" s="377"/>
      <c r="BC2762" s="377"/>
      <c r="BD2762" s="377"/>
      <c r="BE2762" s="377"/>
      <c r="BF2762" s="377"/>
      <c r="BG2762" s="377"/>
      <c r="BH2762" s="377"/>
      <c r="BI2762" s="377"/>
      <c r="BJ2762" s="377"/>
      <c r="BK2762" s="377"/>
      <c r="BL2762" s="377"/>
      <c r="BM2762" s="377"/>
      <c r="BN2762" s="377"/>
      <c r="BO2762" s="377"/>
      <c r="BP2762" s="377"/>
      <c r="BQ2762" s="377"/>
    </row>
    <row r="2763" spans="1:69" s="426" customFormat="1" hidden="1" outlineLevel="1">
      <c r="A2763" s="448" t="s">
        <v>330</v>
      </c>
      <c r="B2763" s="392"/>
      <c r="C2763" s="414"/>
      <c r="D2763" s="490"/>
      <c r="E2763" s="424"/>
      <c r="F2763" s="443"/>
      <c r="G2763" s="525"/>
      <c r="H2763" s="385" t="s">
        <v>359</v>
      </c>
      <c r="I2763" s="511"/>
      <c r="J2763" s="425" t="s">
        <v>367</v>
      </c>
      <c r="K2763" s="464"/>
      <c r="L2763" s="464"/>
      <c r="M2763" s="423"/>
      <c r="N2763" s="423"/>
      <c r="O2763" s="377"/>
      <c r="P2763" s="377"/>
      <c r="Q2763" s="377"/>
      <c r="R2763" s="377"/>
      <c r="S2763" s="377"/>
      <c r="T2763" s="377"/>
      <c r="U2763" s="377"/>
      <c r="V2763" s="377"/>
      <c r="W2763" s="377"/>
      <c r="X2763" s="377"/>
      <c r="Y2763" s="377"/>
      <c r="Z2763" s="377"/>
      <c r="AA2763" s="377"/>
      <c r="AB2763" s="377"/>
      <c r="AC2763" s="377"/>
      <c r="AD2763" s="377"/>
      <c r="AE2763" s="377"/>
      <c r="AF2763" s="377"/>
      <c r="AG2763" s="377"/>
      <c r="AH2763" s="377"/>
      <c r="AI2763" s="377"/>
      <c r="AJ2763" s="377"/>
      <c r="AK2763" s="377"/>
      <c r="AL2763" s="377"/>
      <c r="AM2763" s="377"/>
      <c r="AN2763" s="377"/>
      <c r="AO2763" s="377"/>
      <c r="AP2763" s="377"/>
      <c r="AQ2763" s="377"/>
      <c r="AR2763" s="377"/>
      <c r="AS2763" s="377"/>
      <c r="AT2763" s="377"/>
      <c r="AU2763" s="377"/>
      <c r="AV2763" s="377"/>
      <c r="AW2763" s="377"/>
      <c r="AX2763" s="377"/>
      <c r="AY2763" s="377"/>
      <c r="AZ2763" s="377"/>
      <c r="BA2763" s="377"/>
      <c r="BB2763" s="377"/>
      <c r="BC2763" s="377"/>
      <c r="BD2763" s="377"/>
      <c r="BE2763" s="377"/>
      <c r="BF2763" s="377"/>
      <c r="BG2763" s="377"/>
      <c r="BH2763" s="377"/>
      <c r="BI2763" s="377"/>
      <c r="BJ2763" s="377"/>
      <c r="BK2763" s="377"/>
      <c r="BL2763" s="377"/>
      <c r="BM2763" s="377"/>
      <c r="BN2763" s="377"/>
      <c r="BO2763" s="377"/>
      <c r="BP2763" s="377"/>
      <c r="BQ2763" s="377"/>
    </row>
    <row r="2764" spans="1:69" s="426" customFormat="1" hidden="1" outlineLevel="1">
      <c r="A2764" s="448" t="s">
        <v>331</v>
      </c>
      <c r="B2764" s="392"/>
      <c r="C2764" s="414"/>
      <c r="D2764" s="490"/>
      <c r="E2764" s="424"/>
      <c r="F2764" s="443"/>
      <c r="G2764" s="525"/>
      <c r="H2764" s="385" t="s">
        <v>347</v>
      </c>
      <c r="I2764" s="511"/>
      <c r="J2764" s="425" t="s">
        <v>367</v>
      </c>
      <c r="K2764" s="464"/>
      <c r="L2764" s="464"/>
      <c r="M2764" s="423"/>
      <c r="N2764" s="423"/>
      <c r="O2764" s="377"/>
      <c r="P2764" s="377"/>
      <c r="Q2764" s="377"/>
      <c r="R2764" s="377"/>
      <c r="S2764" s="377"/>
      <c r="T2764" s="377"/>
      <c r="U2764" s="377"/>
      <c r="V2764" s="377"/>
      <c r="W2764" s="377"/>
      <c r="X2764" s="377"/>
      <c r="Y2764" s="377"/>
      <c r="Z2764" s="377"/>
      <c r="AA2764" s="377"/>
      <c r="AB2764" s="377"/>
      <c r="AC2764" s="377"/>
      <c r="AD2764" s="377"/>
      <c r="AE2764" s="377"/>
      <c r="AF2764" s="377"/>
      <c r="AG2764" s="377"/>
      <c r="AH2764" s="377"/>
      <c r="AI2764" s="377"/>
      <c r="AJ2764" s="377"/>
      <c r="AK2764" s="377"/>
      <c r="AL2764" s="377"/>
      <c r="AM2764" s="377"/>
      <c r="AN2764" s="377"/>
      <c r="AO2764" s="377"/>
      <c r="AP2764" s="377"/>
      <c r="AQ2764" s="377"/>
      <c r="AR2764" s="377"/>
      <c r="AS2764" s="377"/>
      <c r="AT2764" s="377"/>
      <c r="AU2764" s="377"/>
      <c r="AV2764" s="377"/>
      <c r="AW2764" s="377"/>
      <c r="AX2764" s="377"/>
      <c r="AY2764" s="377"/>
      <c r="AZ2764" s="377"/>
      <c r="BA2764" s="377"/>
      <c r="BB2764" s="377"/>
      <c r="BC2764" s="377"/>
      <c r="BD2764" s="377"/>
      <c r="BE2764" s="377"/>
      <c r="BF2764" s="377"/>
      <c r="BG2764" s="377"/>
      <c r="BH2764" s="377"/>
      <c r="BI2764" s="377"/>
      <c r="BJ2764" s="377"/>
      <c r="BK2764" s="377"/>
      <c r="BL2764" s="377"/>
      <c r="BM2764" s="377"/>
      <c r="BN2764" s="377"/>
      <c r="BO2764" s="377"/>
      <c r="BP2764" s="377"/>
      <c r="BQ2764" s="377"/>
    </row>
    <row r="2765" spans="1:69" s="426" customFormat="1" hidden="1" outlineLevel="1">
      <c r="A2765" s="448" t="s">
        <v>334</v>
      </c>
      <c r="B2765" s="392"/>
      <c r="C2765" s="414"/>
      <c r="D2765" s="490"/>
      <c r="E2765" s="424"/>
      <c r="F2765" s="443"/>
      <c r="G2765" s="525"/>
      <c r="H2765" s="385" t="s">
        <v>355</v>
      </c>
      <c r="I2765" s="511"/>
      <c r="J2765" s="425" t="s">
        <v>367</v>
      </c>
      <c r="K2765" s="464"/>
      <c r="L2765" s="464"/>
      <c r="M2765" s="423"/>
      <c r="N2765" s="423"/>
      <c r="O2765" s="377"/>
      <c r="P2765" s="377"/>
      <c r="Q2765" s="377"/>
      <c r="R2765" s="377"/>
      <c r="S2765" s="377"/>
      <c r="T2765" s="377"/>
      <c r="U2765" s="377"/>
      <c r="V2765" s="377"/>
      <c r="W2765" s="377"/>
      <c r="X2765" s="377"/>
      <c r="Y2765" s="377"/>
      <c r="Z2765" s="377"/>
      <c r="AA2765" s="377"/>
      <c r="AB2765" s="377"/>
      <c r="AC2765" s="377"/>
      <c r="AD2765" s="377"/>
      <c r="AE2765" s="377"/>
      <c r="AF2765" s="377"/>
      <c r="AG2765" s="377"/>
      <c r="AH2765" s="377"/>
      <c r="AI2765" s="377"/>
      <c r="AJ2765" s="377"/>
      <c r="AK2765" s="377"/>
      <c r="AL2765" s="377"/>
      <c r="AM2765" s="377"/>
      <c r="AN2765" s="377"/>
      <c r="AO2765" s="377"/>
      <c r="AP2765" s="377"/>
      <c r="AQ2765" s="377"/>
      <c r="AR2765" s="377"/>
      <c r="AS2765" s="377"/>
      <c r="AT2765" s="377"/>
      <c r="AU2765" s="377"/>
      <c r="AV2765" s="377"/>
      <c r="AW2765" s="377"/>
      <c r="AX2765" s="377"/>
      <c r="AY2765" s="377"/>
      <c r="AZ2765" s="377"/>
      <c r="BA2765" s="377"/>
      <c r="BB2765" s="377"/>
      <c r="BC2765" s="377"/>
      <c r="BD2765" s="377"/>
      <c r="BE2765" s="377"/>
      <c r="BF2765" s="377"/>
      <c r="BG2765" s="377"/>
      <c r="BH2765" s="377"/>
      <c r="BI2765" s="377"/>
      <c r="BJ2765" s="377"/>
      <c r="BK2765" s="377"/>
      <c r="BL2765" s="377"/>
      <c r="BM2765" s="377"/>
      <c r="BN2765" s="377"/>
      <c r="BO2765" s="377"/>
      <c r="BP2765" s="377"/>
      <c r="BQ2765" s="377"/>
    </row>
    <row r="2766" spans="1:69" s="426" customFormat="1" hidden="1" outlineLevel="1">
      <c r="A2766" s="448" t="s">
        <v>337</v>
      </c>
      <c r="B2766" s="392"/>
      <c r="C2766" s="414"/>
      <c r="D2766" s="490"/>
      <c r="E2766" s="424"/>
      <c r="F2766" s="443"/>
      <c r="G2766" s="525"/>
      <c r="H2766" s="385" t="s">
        <v>356</v>
      </c>
      <c r="I2766" s="511"/>
      <c r="J2766" s="425" t="s">
        <v>367</v>
      </c>
      <c r="K2766" s="464"/>
      <c r="L2766" s="464"/>
      <c r="M2766" s="423"/>
      <c r="N2766" s="423"/>
      <c r="O2766" s="377"/>
      <c r="P2766" s="377"/>
      <c r="Q2766" s="377"/>
      <c r="R2766" s="377"/>
      <c r="S2766" s="377"/>
      <c r="T2766" s="377"/>
      <c r="U2766" s="377"/>
      <c r="V2766" s="377"/>
      <c r="W2766" s="377"/>
      <c r="X2766" s="377"/>
      <c r="Y2766" s="377"/>
      <c r="Z2766" s="377"/>
      <c r="AA2766" s="377"/>
      <c r="AB2766" s="377"/>
      <c r="AC2766" s="377"/>
      <c r="AD2766" s="377"/>
      <c r="AE2766" s="377"/>
      <c r="AF2766" s="377"/>
      <c r="AG2766" s="377"/>
      <c r="AH2766" s="377"/>
      <c r="AI2766" s="377"/>
      <c r="AJ2766" s="377"/>
      <c r="AK2766" s="377"/>
      <c r="AL2766" s="377"/>
      <c r="AM2766" s="377"/>
      <c r="AN2766" s="377"/>
      <c r="AO2766" s="377"/>
      <c r="AP2766" s="377"/>
      <c r="AQ2766" s="377"/>
      <c r="AR2766" s="377"/>
      <c r="AS2766" s="377"/>
      <c r="AT2766" s="377"/>
      <c r="AU2766" s="377"/>
      <c r="AV2766" s="377"/>
      <c r="AW2766" s="377"/>
      <c r="AX2766" s="377"/>
      <c r="AY2766" s="377"/>
      <c r="AZ2766" s="377"/>
      <c r="BA2766" s="377"/>
      <c r="BB2766" s="377"/>
      <c r="BC2766" s="377"/>
      <c r="BD2766" s="377"/>
      <c r="BE2766" s="377"/>
      <c r="BF2766" s="377"/>
      <c r="BG2766" s="377"/>
      <c r="BH2766" s="377"/>
      <c r="BI2766" s="377"/>
      <c r="BJ2766" s="377"/>
      <c r="BK2766" s="377"/>
      <c r="BL2766" s="377"/>
      <c r="BM2766" s="377"/>
      <c r="BN2766" s="377"/>
      <c r="BO2766" s="377"/>
      <c r="BP2766" s="377"/>
      <c r="BQ2766" s="377"/>
    </row>
    <row r="2767" spans="1:69" s="426" customFormat="1" hidden="1" outlineLevel="1">
      <c r="A2767" s="447"/>
      <c r="B2767" s="377"/>
      <c r="C2767" s="421"/>
      <c r="D2767" s="523"/>
      <c r="E2767" s="427"/>
      <c r="F2767" s="444"/>
      <c r="G2767" s="526"/>
      <c r="H2767" s="380"/>
      <c r="I2767" s="515"/>
      <c r="J2767" s="428"/>
      <c r="K2767" s="465"/>
      <c r="L2767" s="465"/>
      <c r="O2767" s="377"/>
      <c r="P2767" s="377"/>
      <c r="Q2767" s="377"/>
      <c r="R2767" s="377"/>
      <c r="S2767" s="377"/>
      <c r="T2767" s="377"/>
      <c r="U2767" s="377"/>
      <c r="V2767" s="377"/>
      <c r="W2767" s="377"/>
      <c r="X2767" s="377"/>
      <c r="Y2767" s="377"/>
      <c r="Z2767" s="377"/>
      <c r="AA2767" s="377"/>
      <c r="AB2767" s="377"/>
      <c r="AC2767" s="377"/>
      <c r="AD2767" s="377"/>
      <c r="AE2767" s="377"/>
      <c r="AF2767" s="377"/>
      <c r="AG2767" s="377"/>
      <c r="AH2767" s="377"/>
      <c r="AI2767" s="377"/>
      <c r="AJ2767" s="377"/>
      <c r="AK2767" s="377"/>
      <c r="AL2767" s="377"/>
      <c r="AM2767" s="377"/>
      <c r="AN2767" s="377"/>
      <c r="AO2767" s="377"/>
      <c r="AP2767" s="377"/>
      <c r="AQ2767" s="377"/>
      <c r="AR2767" s="377"/>
      <c r="AS2767" s="377"/>
      <c r="AT2767" s="377"/>
      <c r="AU2767" s="377"/>
      <c r="AV2767" s="377"/>
      <c r="AW2767" s="377"/>
      <c r="AX2767" s="377"/>
      <c r="AY2767" s="377"/>
      <c r="AZ2767" s="377"/>
      <c r="BA2767" s="377"/>
      <c r="BB2767" s="377"/>
      <c r="BC2767" s="377"/>
      <c r="BD2767" s="377"/>
      <c r="BE2767" s="377"/>
      <c r="BF2767" s="377"/>
      <c r="BG2767" s="377"/>
      <c r="BH2767" s="377"/>
      <c r="BI2767" s="377"/>
      <c r="BJ2767" s="377"/>
      <c r="BK2767" s="377"/>
      <c r="BL2767" s="377"/>
      <c r="BM2767" s="377"/>
      <c r="BN2767" s="377"/>
      <c r="BO2767" s="377"/>
      <c r="BP2767" s="377"/>
      <c r="BQ2767" s="377"/>
    </row>
    <row r="2768" spans="1:69" s="426" customFormat="1" ht="26.25" hidden="1" outlineLevel="1">
      <c r="A2768" s="447"/>
      <c r="B2768" s="377"/>
      <c r="C2768" s="421"/>
      <c r="D2768" s="523"/>
      <c r="E2768" s="427"/>
      <c r="F2768" s="444"/>
      <c r="G2768" s="526"/>
      <c r="H2768" s="488" t="s">
        <v>370</v>
      </c>
      <c r="I2768" s="515"/>
      <c r="J2768" s="428"/>
      <c r="K2768" s="465"/>
      <c r="L2768" s="465"/>
      <c r="O2768" s="377"/>
      <c r="P2768" s="377"/>
      <c r="Q2768" s="377"/>
      <c r="R2768" s="377"/>
      <c r="S2768" s="377"/>
      <c r="T2768" s="377"/>
      <c r="U2768" s="377"/>
      <c r="V2768" s="377"/>
      <c r="W2768" s="377"/>
      <c r="X2768" s="377"/>
      <c r="Y2768" s="377"/>
      <c r="Z2768" s="377"/>
      <c r="AA2768" s="377"/>
      <c r="AB2768" s="377"/>
      <c r="AC2768" s="377"/>
      <c r="AD2768" s="377"/>
      <c r="AE2768" s="377"/>
      <c r="AF2768" s="377"/>
      <c r="AG2768" s="377"/>
      <c r="AH2768" s="377"/>
      <c r="AI2768" s="377"/>
      <c r="AJ2768" s="377"/>
      <c r="AK2768" s="377"/>
      <c r="AL2768" s="377"/>
      <c r="AM2768" s="377"/>
      <c r="AN2768" s="377"/>
      <c r="AO2768" s="377"/>
      <c r="AP2768" s="377"/>
      <c r="AQ2768" s="377"/>
      <c r="AR2768" s="377"/>
      <c r="AS2768" s="377"/>
      <c r="AT2768" s="377"/>
      <c r="AU2768" s="377"/>
      <c r="AV2768" s="377"/>
      <c r="AW2768" s="377"/>
      <c r="AX2768" s="377"/>
      <c r="AY2768" s="377"/>
      <c r="AZ2768" s="377"/>
      <c r="BA2768" s="377"/>
      <c r="BB2768" s="377"/>
      <c r="BC2768" s="377"/>
      <c r="BD2768" s="377"/>
      <c r="BE2768" s="377"/>
      <c r="BF2768" s="377"/>
      <c r="BG2768" s="377"/>
      <c r="BH2768" s="377"/>
      <c r="BI2768" s="377"/>
      <c r="BJ2768" s="377"/>
      <c r="BK2768" s="377"/>
      <c r="BL2768" s="377"/>
      <c r="BM2768" s="377"/>
      <c r="BN2768" s="377"/>
      <c r="BO2768" s="377"/>
      <c r="BP2768" s="377"/>
      <c r="BQ2768" s="377"/>
    </row>
    <row r="2769" spans="1:69" s="426" customFormat="1" hidden="1" outlineLevel="1">
      <c r="A2769" s="447"/>
      <c r="B2769" s="377"/>
      <c r="C2769" s="421"/>
      <c r="D2769" s="523"/>
      <c r="E2769" s="427"/>
      <c r="F2769" s="444"/>
      <c r="G2769" s="526"/>
      <c r="H2769" s="381"/>
      <c r="I2769" s="515"/>
      <c r="J2769" s="428"/>
      <c r="K2769" s="465"/>
      <c r="L2769" s="465"/>
      <c r="O2769" s="377"/>
      <c r="P2769" s="377"/>
      <c r="Q2769" s="377"/>
      <c r="R2769" s="377"/>
      <c r="S2769" s="377"/>
      <c r="T2769" s="377"/>
      <c r="U2769" s="377"/>
      <c r="V2769" s="377"/>
      <c r="W2769" s="377"/>
      <c r="X2769" s="377"/>
      <c r="Y2769" s="377"/>
      <c r="Z2769" s="377"/>
      <c r="AA2769" s="377"/>
      <c r="AB2769" s="377"/>
      <c r="AC2769" s="377"/>
      <c r="AD2769" s="377"/>
      <c r="AE2769" s="377"/>
      <c r="AF2769" s="377"/>
      <c r="AG2769" s="377"/>
      <c r="AH2769" s="377"/>
      <c r="AI2769" s="377"/>
      <c r="AJ2769" s="377"/>
      <c r="AK2769" s="377"/>
      <c r="AL2769" s="377"/>
      <c r="AM2769" s="377"/>
      <c r="AN2769" s="377"/>
      <c r="AO2769" s="377"/>
      <c r="AP2769" s="377"/>
      <c r="AQ2769" s="377"/>
      <c r="AR2769" s="377"/>
      <c r="AS2769" s="377"/>
      <c r="AT2769" s="377"/>
      <c r="AU2769" s="377"/>
      <c r="AV2769" s="377"/>
      <c r="AW2769" s="377"/>
      <c r="AX2769" s="377"/>
      <c r="AY2769" s="377"/>
      <c r="AZ2769" s="377"/>
      <c r="BA2769" s="377"/>
      <c r="BB2769" s="377"/>
      <c r="BC2769" s="377"/>
      <c r="BD2769" s="377"/>
      <c r="BE2769" s="377"/>
      <c r="BF2769" s="377"/>
      <c r="BG2769" s="377"/>
      <c r="BH2769" s="377"/>
      <c r="BI2769" s="377"/>
      <c r="BJ2769" s="377"/>
      <c r="BK2769" s="377"/>
      <c r="BL2769" s="377"/>
      <c r="BM2769" s="377"/>
      <c r="BN2769" s="377"/>
      <c r="BO2769" s="377"/>
      <c r="BP2769" s="377"/>
      <c r="BQ2769" s="377"/>
    </row>
    <row r="2770" spans="1:69" s="426" customFormat="1" hidden="1" outlineLevel="1">
      <c r="A2770" s="448" t="s">
        <v>326</v>
      </c>
      <c r="B2770" s="392"/>
      <c r="C2770" s="414"/>
      <c r="D2770" s="490"/>
      <c r="E2770" s="424"/>
      <c r="F2770" s="443"/>
      <c r="G2770" s="525"/>
      <c r="H2770" s="385" t="s">
        <v>353</v>
      </c>
      <c r="I2770" s="511">
        <v>26</v>
      </c>
      <c r="J2770" s="425" t="s">
        <v>366</v>
      </c>
      <c r="K2770" s="464"/>
      <c r="L2770" s="464"/>
      <c r="M2770" s="423"/>
      <c r="N2770" s="423"/>
      <c r="O2770" s="377"/>
      <c r="P2770" s="377"/>
      <c r="Q2770" s="377"/>
      <c r="R2770" s="377"/>
      <c r="S2770" s="377"/>
      <c r="T2770" s="377"/>
      <c r="U2770" s="377"/>
      <c r="V2770" s="377"/>
      <c r="W2770" s="377"/>
      <c r="X2770" s="377"/>
      <c r="Y2770" s="377"/>
      <c r="Z2770" s="377"/>
      <c r="AA2770" s="377"/>
      <c r="AB2770" s="377"/>
      <c r="AC2770" s="377"/>
      <c r="AD2770" s="377"/>
      <c r="AE2770" s="377"/>
      <c r="AF2770" s="377"/>
      <c r="AG2770" s="377"/>
      <c r="AH2770" s="377"/>
      <c r="AI2770" s="377"/>
      <c r="AJ2770" s="377"/>
      <c r="AK2770" s="377"/>
      <c r="AL2770" s="377"/>
      <c r="AM2770" s="377"/>
      <c r="AN2770" s="377"/>
      <c r="AO2770" s="377"/>
      <c r="AP2770" s="377"/>
      <c r="AQ2770" s="377"/>
      <c r="AR2770" s="377"/>
      <c r="AS2770" s="377"/>
      <c r="AT2770" s="377"/>
      <c r="AU2770" s="377"/>
      <c r="AV2770" s="377"/>
      <c r="AW2770" s="377"/>
      <c r="AX2770" s="377"/>
      <c r="AY2770" s="377"/>
      <c r="AZ2770" s="377"/>
      <c r="BA2770" s="377"/>
      <c r="BB2770" s="377"/>
      <c r="BC2770" s="377"/>
      <c r="BD2770" s="377"/>
      <c r="BE2770" s="377"/>
      <c r="BF2770" s="377"/>
      <c r="BG2770" s="377"/>
      <c r="BH2770" s="377"/>
      <c r="BI2770" s="377"/>
      <c r="BJ2770" s="377"/>
      <c r="BK2770" s="377"/>
      <c r="BL2770" s="377"/>
      <c r="BM2770" s="377"/>
      <c r="BN2770" s="377"/>
      <c r="BO2770" s="377"/>
      <c r="BP2770" s="377"/>
      <c r="BQ2770" s="377"/>
    </row>
    <row r="2771" spans="1:69" s="426" customFormat="1" hidden="1" outlineLevel="1">
      <c r="A2771" s="448" t="s">
        <v>325</v>
      </c>
      <c r="B2771" s="392"/>
      <c r="C2771" s="414"/>
      <c r="D2771" s="490"/>
      <c r="E2771" s="424"/>
      <c r="F2771" s="443"/>
      <c r="G2771" s="525"/>
      <c r="H2771" s="385" t="s">
        <v>354</v>
      </c>
      <c r="I2771" s="511">
        <v>22</v>
      </c>
      <c r="J2771" s="425" t="s">
        <v>366</v>
      </c>
      <c r="K2771" s="464"/>
      <c r="L2771" s="464"/>
      <c r="M2771" s="423"/>
      <c r="N2771" s="423"/>
      <c r="O2771" s="377"/>
      <c r="P2771" s="377"/>
      <c r="Q2771" s="377"/>
      <c r="R2771" s="377"/>
      <c r="S2771" s="377"/>
      <c r="T2771" s="377"/>
      <c r="U2771" s="377"/>
      <c r="V2771" s="377"/>
      <c r="W2771" s="377"/>
      <c r="X2771" s="377"/>
      <c r="Y2771" s="377"/>
      <c r="Z2771" s="377"/>
      <c r="AA2771" s="377"/>
      <c r="AB2771" s="377"/>
      <c r="AC2771" s="377"/>
      <c r="AD2771" s="377"/>
      <c r="AE2771" s="377"/>
      <c r="AF2771" s="377"/>
      <c r="AG2771" s="377"/>
      <c r="AH2771" s="377"/>
      <c r="AI2771" s="377"/>
      <c r="AJ2771" s="377"/>
      <c r="AK2771" s="377"/>
      <c r="AL2771" s="377"/>
      <c r="AM2771" s="377"/>
      <c r="AN2771" s="377"/>
      <c r="AO2771" s="377"/>
      <c r="AP2771" s="377"/>
      <c r="AQ2771" s="377"/>
      <c r="AR2771" s="377"/>
      <c r="AS2771" s="377"/>
      <c r="AT2771" s="377"/>
      <c r="AU2771" s="377"/>
      <c r="AV2771" s="377"/>
      <c r="AW2771" s="377"/>
      <c r="AX2771" s="377"/>
      <c r="AY2771" s="377"/>
      <c r="AZ2771" s="377"/>
      <c r="BA2771" s="377"/>
      <c r="BB2771" s="377"/>
      <c r="BC2771" s="377"/>
      <c r="BD2771" s="377"/>
      <c r="BE2771" s="377"/>
      <c r="BF2771" s="377"/>
      <c r="BG2771" s="377"/>
      <c r="BH2771" s="377"/>
      <c r="BI2771" s="377"/>
      <c r="BJ2771" s="377"/>
      <c r="BK2771" s="377"/>
      <c r="BL2771" s="377"/>
      <c r="BM2771" s="377"/>
      <c r="BN2771" s="377"/>
      <c r="BO2771" s="377"/>
      <c r="BP2771" s="377"/>
      <c r="BQ2771" s="377"/>
    </row>
    <row r="2772" spans="1:69" s="426" customFormat="1" hidden="1" outlineLevel="1">
      <c r="A2772" s="448" t="s">
        <v>327</v>
      </c>
      <c r="B2772" s="392"/>
      <c r="C2772" s="414"/>
      <c r="D2772" s="490"/>
      <c r="E2772" s="424"/>
      <c r="F2772" s="443"/>
      <c r="G2772" s="525"/>
      <c r="H2772" s="385" t="s">
        <v>352</v>
      </c>
      <c r="I2772" s="511">
        <v>38</v>
      </c>
      <c r="J2772" s="425" t="s">
        <v>366</v>
      </c>
      <c r="K2772" s="464"/>
      <c r="L2772" s="464"/>
      <c r="M2772" s="423"/>
      <c r="N2772" s="423"/>
      <c r="O2772" s="377"/>
      <c r="P2772" s="377"/>
      <c r="Q2772" s="377"/>
      <c r="R2772" s="377"/>
      <c r="S2772" s="377"/>
      <c r="T2772" s="377"/>
      <c r="U2772" s="377"/>
      <c r="V2772" s="377"/>
      <c r="W2772" s="377"/>
      <c r="X2772" s="377"/>
      <c r="Y2772" s="377"/>
      <c r="Z2772" s="377"/>
      <c r="AA2772" s="377"/>
      <c r="AB2772" s="377"/>
      <c r="AC2772" s="377"/>
      <c r="AD2772" s="377"/>
      <c r="AE2772" s="377"/>
      <c r="AF2772" s="377"/>
      <c r="AG2772" s="377"/>
      <c r="AH2772" s="377"/>
      <c r="AI2772" s="377"/>
      <c r="AJ2772" s="377"/>
      <c r="AK2772" s="377"/>
      <c r="AL2772" s="377"/>
      <c r="AM2772" s="377"/>
      <c r="AN2772" s="377"/>
      <c r="AO2772" s="377"/>
      <c r="AP2772" s="377"/>
      <c r="AQ2772" s="377"/>
      <c r="AR2772" s="377"/>
      <c r="AS2772" s="377"/>
      <c r="AT2772" s="377"/>
      <c r="AU2772" s="377"/>
      <c r="AV2772" s="377"/>
      <c r="AW2772" s="377"/>
      <c r="AX2772" s="377"/>
      <c r="AY2772" s="377"/>
      <c r="AZ2772" s="377"/>
      <c r="BA2772" s="377"/>
      <c r="BB2772" s="377"/>
      <c r="BC2772" s="377"/>
      <c r="BD2772" s="377"/>
      <c r="BE2772" s="377"/>
      <c r="BF2772" s="377"/>
      <c r="BG2772" s="377"/>
      <c r="BH2772" s="377"/>
      <c r="BI2772" s="377"/>
      <c r="BJ2772" s="377"/>
      <c r="BK2772" s="377"/>
      <c r="BL2772" s="377"/>
      <c r="BM2772" s="377"/>
      <c r="BN2772" s="377"/>
      <c r="BO2772" s="377"/>
      <c r="BP2772" s="377"/>
      <c r="BQ2772" s="377"/>
    </row>
    <row r="2773" spans="1:69" s="426" customFormat="1" hidden="1" outlineLevel="1">
      <c r="A2773" s="448" t="s">
        <v>328</v>
      </c>
      <c r="B2773" s="392"/>
      <c r="C2773" s="414"/>
      <c r="D2773" s="490"/>
      <c r="E2773" s="424"/>
      <c r="F2773" s="443"/>
      <c r="G2773" s="525"/>
      <c r="H2773" s="385" t="s">
        <v>357</v>
      </c>
      <c r="I2773" s="511">
        <v>14</v>
      </c>
      <c r="J2773" s="425" t="s">
        <v>366</v>
      </c>
      <c r="K2773" s="464"/>
      <c r="L2773" s="464"/>
      <c r="M2773" s="423"/>
      <c r="N2773" s="423"/>
      <c r="O2773" s="377"/>
      <c r="P2773" s="377"/>
      <c r="Q2773" s="377"/>
      <c r="R2773" s="377"/>
      <c r="S2773" s="377"/>
      <c r="T2773" s="377"/>
      <c r="U2773" s="377"/>
      <c r="V2773" s="377"/>
      <c r="W2773" s="377"/>
      <c r="X2773" s="377"/>
      <c r="Y2773" s="377"/>
      <c r="Z2773" s="377"/>
      <c r="AA2773" s="377"/>
      <c r="AB2773" s="377"/>
      <c r="AC2773" s="377"/>
      <c r="AD2773" s="377"/>
      <c r="AE2773" s="377"/>
      <c r="AF2773" s="377"/>
      <c r="AG2773" s="377"/>
      <c r="AH2773" s="377"/>
      <c r="AI2773" s="377"/>
      <c r="AJ2773" s="377"/>
      <c r="AK2773" s="377"/>
      <c r="AL2773" s="377"/>
      <c r="AM2773" s="377"/>
      <c r="AN2773" s="377"/>
      <c r="AO2773" s="377"/>
      <c r="AP2773" s="377"/>
      <c r="AQ2773" s="377"/>
      <c r="AR2773" s="377"/>
      <c r="AS2773" s="377"/>
      <c r="AT2773" s="377"/>
      <c r="AU2773" s="377"/>
      <c r="AV2773" s="377"/>
      <c r="AW2773" s="377"/>
      <c r="AX2773" s="377"/>
      <c r="AY2773" s="377"/>
      <c r="AZ2773" s="377"/>
      <c r="BA2773" s="377"/>
      <c r="BB2773" s="377"/>
      <c r="BC2773" s="377"/>
      <c r="BD2773" s="377"/>
      <c r="BE2773" s="377"/>
      <c r="BF2773" s="377"/>
      <c r="BG2773" s="377"/>
      <c r="BH2773" s="377"/>
      <c r="BI2773" s="377"/>
      <c r="BJ2773" s="377"/>
      <c r="BK2773" s="377"/>
      <c r="BL2773" s="377"/>
      <c r="BM2773" s="377"/>
      <c r="BN2773" s="377"/>
      <c r="BO2773" s="377"/>
      <c r="BP2773" s="377"/>
      <c r="BQ2773" s="377"/>
    </row>
    <row r="2774" spans="1:69" s="426" customFormat="1" ht="20.25" hidden="1" customHeight="1" outlineLevel="1">
      <c r="A2774" s="448" t="s">
        <v>329</v>
      </c>
      <c r="B2774" s="392"/>
      <c r="C2774" s="414"/>
      <c r="D2774" s="490"/>
      <c r="E2774" s="424"/>
      <c r="F2774" s="443"/>
      <c r="G2774" s="525"/>
      <c r="H2774" s="385" t="s">
        <v>358</v>
      </c>
      <c r="I2774" s="511">
        <v>31</v>
      </c>
      <c r="J2774" s="425" t="s">
        <v>366</v>
      </c>
      <c r="K2774" s="464"/>
      <c r="L2774" s="464"/>
      <c r="M2774" s="423"/>
      <c r="N2774" s="423"/>
      <c r="O2774" s="377"/>
      <c r="P2774" s="377"/>
      <c r="Q2774" s="377"/>
      <c r="R2774" s="377"/>
      <c r="S2774" s="377"/>
      <c r="T2774" s="377"/>
      <c r="U2774" s="377"/>
      <c r="V2774" s="377"/>
      <c r="W2774" s="377"/>
      <c r="X2774" s="377"/>
      <c r="Y2774" s="377"/>
      <c r="Z2774" s="377"/>
      <c r="AA2774" s="377"/>
      <c r="AB2774" s="377"/>
      <c r="AC2774" s="377"/>
      <c r="AD2774" s="377"/>
      <c r="AE2774" s="377"/>
      <c r="AF2774" s="377"/>
      <c r="AG2774" s="377"/>
      <c r="AH2774" s="377"/>
      <c r="AI2774" s="377"/>
      <c r="AJ2774" s="377"/>
      <c r="AK2774" s="377"/>
      <c r="AL2774" s="377"/>
      <c r="AM2774" s="377"/>
      <c r="AN2774" s="377"/>
      <c r="AO2774" s="377"/>
      <c r="AP2774" s="377"/>
      <c r="AQ2774" s="377"/>
      <c r="AR2774" s="377"/>
      <c r="AS2774" s="377"/>
      <c r="AT2774" s="377"/>
      <c r="AU2774" s="377"/>
      <c r="AV2774" s="377"/>
      <c r="AW2774" s="377"/>
      <c r="AX2774" s="377"/>
      <c r="AY2774" s="377"/>
      <c r="AZ2774" s="377"/>
      <c r="BA2774" s="377"/>
      <c r="BB2774" s="377"/>
      <c r="BC2774" s="377"/>
      <c r="BD2774" s="377"/>
      <c r="BE2774" s="377"/>
      <c r="BF2774" s="377"/>
      <c r="BG2774" s="377"/>
      <c r="BH2774" s="377"/>
      <c r="BI2774" s="377"/>
      <c r="BJ2774" s="377"/>
      <c r="BK2774" s="377"/>
      <c r="BL2774" s="377"/>
      <c r="BM2774" s="377"/>
      <c r="BN2774" s="377"/>
      <c r="BO2774" s="377"/>
      <c r="BP2774" s="377"/>
      <c r="BQ2774" s="377"/>
    </row>
    <row r="2775" spans="1:69" s="426" customFormat="1" hidden="1" outlineLevel="1">
      <c r="A2775" s="448" t="s">
        <v>330</v>
      </c>
      <c r="B2775" s="392"/>
      <c r="C2775" s="414"/>
      <c r="D2775" s="490"/>
      <c r="E2775" s="424"/>
      <c r="F2775" s="443"/>
      <c r="G2775" s="525"/>
      <c r="H2775" s="385" t="s">
        <v>359</v>
      </c>
      <c r="I2775" s="511">
        <v>80</v>
      </c>
      <c r="J2775" s="425" t="s">
        <v>366</v>
      </c>
      <c r="K2775" s="464"/>
      <c r="L2775" s="464"/>
      <c r="M2775" s="423"/>
      <c r="N2775" s="423"/>
      <c r="O2775" s="377"/>
      <c r="P2775" s="377"/>
      <c r="Q2775" s="377"/>
      <c r="R2775" s="377"/>
      <c r="S2775" s="377"/>
      <c r="T2775" s="377"/>
      <c r="U2775" s="377"/>
      <c r="V2775" s="377"/>
      <c r="W2775" s="377"/>
      <c r="X2775" s="377"/>
      <c r="Y2775" s="377"/>
      <c r="Z2775" s="377"/>
      <c r="AA2775" s="377"/>
      <c r="AB2775" s="377"/>
      <c r="AC2775" s="377"/>
      <c r="AD2775" s="377"/>
      <c r="AE2775" s="377"/>
      <c r="AF2775" s="377"/>
      <c r="AG2775" s="377"/>
      <c r="AH2775" s="377"/>
      <c r="AI2775" s="377"/>
      <c r="AJ2775" s="377"/>
      <c r="AK2775" s="377"/>
      <c r="AL2775" s="377"/>
      <c r="AM2775" s="377"/>
      <c r="AN2775" s="377"/>
      <c r="AO2775" s="377"/>
      <c r="AP2775" s="377"/>
      <c r="AQ2775" s="377"/>
      <c r="AR2775" s="377"/>
      <c r="AS2775" s="377"/>
      <c r="AT2775" s="377"/>
      <c r="AU2775" s="377"/>
      <c r="AV2775" s="377"/>
      <c r="AW2775" s="377"/>
      <c r="AX2775" s="377"/>
      <c r="AY2775" s="377"/>
      <c r="AZ2775" s="377"/>
      <c r="BA2775" s="377"/>
      <c r="BB2775" s="377"/>
      <c r="BC2775" s="377"/>
      <c r="BD2775" s="377"/>
      <c r="BE2775" s="377"/>
      <c r="BF2775" s="377"/>
      <c r="BG2775" s="377"/>
      <c r="BH2775" s="377"/>
      <c r="BI2775" s="377"/>
      <c r="BJ2775" s="377"/>
      <c r="BK2775" s="377"/>
      <c r="BL2775" s="377"/>
      <c r="BM2775" s="377"/>
      <c r="BN2775" s="377"/>
      <c r="BO2775" s="377"/>
      <c r="BP2775" s="377"/>
      <c r="BQ2775" s="377"/>
    </row>
    <row r="2776" spans="1:69" s="426" customFormat="1" hidden="1" outlineLevel="1">
      <c r="A2776" s="448" t="s">
        <v>331</v>
      </c>
      <c r="B2776" s="392"/>
      <c r="C2776" s="414"/>
      <c r="D2776" s="490"/>
      <c r="E2776" s="424"/>
      <c r="F2776" s="443"/>
      <c r="G2776" s="525"/>
      <c r="H2776" s="385" t="s">
        <v>347</v>
      </c>
      <c r="I2776" s="518">
        <v>55</v>
      </c>
      <c r="J2776" s="425" t="s">
        <v>366</v>
      </c>
      <c r="K2776" s="464"/>
      <c r="L2776" s="464"/>
      <c r="M2776" s="423"/>
      <c r="N2776" s="423"/>
      <c r="O2776" s="377"/>
      <c r="P2776" s="377"/>
      <c r="Q2776" s="377"/>
      <c r="R2776" s="377"/>
      <c r="S2776" s="377"/>
      <c r="T2776" s="377"/>
      <c r="U2776" s="377"/>
      <c r="V2776" s="377"/>
      <c r="W2776" s="377"/>
      <c r="X2776" s="377"/>
      <c r="Y2776" s="377"/>
      <c r="Z2776" s="377"/>
      <c r="AA2776" s="377"/>
      <c r="AB2776" s="377"/>
      <c r="AC2776" s="377"/>
      <c r="AD2776" s="377"/>
      <c r="AE2776" s="377"/>
      <c r="AF2776" s="377"/>
      <c r="AG2776" s="377"/>
      <c r="AH2776" s="377"/>
      <c r="AI2776" s="377"/>
      <c r="AJ2776" s="377"/>
      <c r="AK2776" s="377"/>
      <c r="AL2776" s="377"/>
      <c r="AM2776" s="377"/>
      <c r="AN2776" s="377"/>
      <c r="AO2776" s="377"/>
      <c r="AP2776" s="377"/>
      <c r="AQ2776" s="377"/>
      <c r="AR2776" s="377"/>
      <c r="AS2776" s="377"/>
      <c r="AT2776" s="377"/>
      <c r="AU2776" s="377"/>
      <c r="AV2776" s="377"/>
      <c r="AW2776" s="377"/>
      <c r="AX2776" s="377"/>
      <c r="AY2776" s="377"/>
      <c r="AZ2776" s="377"/>
      <c r="BA2776" s="377"/>
      <c r="BB2776" s="377"/>
      <c r="BC2776" s="377"/>
      <c r="BD2776" s="377"/>
      <c r="BE2776" s="377"/>
      <c r="BF2776" s="377"/>
      <c r="BG2776" s="377"/>
      <c r="BH2776" s="377"/>
      <c r="BI2776" s="377"/>
      <c r="BJ2776" s="377"/>
      <c r="BK2776" s="377"/>
      <c r="BL2776" s="377"/>
      <c r="BM2776" s="377"/>
      <c r="BN2776" s="377"/>
      <c r="BO2776" s="377"/>
      <c r="BP2776" s="377"/>
      <c r="BQ2776" s="377"/>
    </row>
    <row r="2777" spans="1:69" s="426" customFormat="1" hidden="1" outlineLevel="1">
      <c r="A2777" s="448" t="s">
        <v>334</v>
      </c>
      <c r="B2777" s="392"/>
      <c r="C2777" s="414"/>
      <c r="D2777" s="490"/>
      <c r="E2777" s="424"/>
      <c r="F2777" s="443"/>
      <c r="G2777" s="525"/>
      <c r="H2777" s="385" t="s">
        <v>355</v>
      </c>
      <c r="I2777" s="511"/>
      <c r="J2777" s="425" t="s">
        <v>366</v>
      </c>
      <c r="K2777" s="464"/>
      <c r="L2777" s="464"/>
      <c r="M2777" s="423"/>
      <c r="N2777" s="423"/>
      <c r="O2777" s="377"/>
      <c r="P2777" s="377"/>
      <c r="Q2777" s="377"/>
      <c r="R2777" s="377"/>
      <c r="S2777" s="377"/>
      <c r="T2777" s="377"/>
      <c r="U2777" s="377"/>
      <c r="V2777" s="377"/>
      <c r="W2777" s="377"/>
      <c r="X2777" s="377"/>
      <c r="Y2777" s="377"/>
      <c r="Z2777" s="377"/>
      <c r="AA2777" s="377"/>
      <c r="AB2777" s="377"/>
      <c r="AC2777" s="377"/>
      <c r="AD2777" s="377"/>
      <c r="AE2777" s="377"/>
      <c r="AF2777" s="377"/>
      <c r="AG2777" s="377"/>
      <c r="AH2777" s="377"/>
      <c r="AI2777" s="377"/>
      <c r="AJ2777" s="377"/>
      <c r="AK2777" s="377"/>
      <c r="AL2777" s="377"/>
      <c r="AM2777" s="377"/>
      <c r="AN2777" s="377"/>
      <c r="AO2777" s="377"/>
      <c r="AP2777" s="377"/>
      <c r="AQ2777" s="377"/>
      <c r="AR2777" s="377"/>
      <c r="AS2777" s="377"/>
      <c r="AT2777" s="377"/>
      <c r="AU2777" s="377"/>
      <c r="AV2777" s="377"/>
      <c r="AW2777" s="377"/>
      <c r="AX2777" s="377"/>
      <c r="AY2777" s="377"/>
      <c r="AZ2777" s="377"/>
      <c r="BA2777" s="377"/>
      <c r="BB2777" s="377"/>
      <c r="BC2777" s="377"/>
      <c r="BD2777" s="377"/>
      <c r="BE2777" s="377"/>
      <c r="BF2777" s="377"/>
      <c r="BG2777" s="377"/>
      <c r="BH2777" s="377"/>
      <c r="BI2777" s="377"/>
      <c r="BJ2777" s="377"/>
      <c r="BK2777" s="377"/>
      <c r="BL2777" s="377"/>
      <c r="BM2777" s="377"/>
      <c r="BN2777" s="377"/>
      <c r="BO2777" s="377"/>
      <c r="BP2777" s="377"/>
      <c r="BQ2777" s="377"/>
    </row>
    <row r="2778" spans="1:69" s="426" customFormat="1" hidden="1" outlineLevel="1">
      <c r="A2778" s="448" t="s">
        <v>337</v>
      </c>
      <c r="B2778" s="392"/>
      <c r="C2778" s="414"/>
      <c r="D2778" s="490"/>
      <c r="E2778" s="424"/>
      <c r="F2778" s="443"/>
      <c r="G2778" s="525"/>
      <c r="H2778" s="385" t="s">
        <v>356</v>
      </c>
      <c r="I2778" s="511">
        <f>N2387+N2389+N2392+N2395+N2398+N2401+N2403+N2406+N2411+N2424+N2427+N2430+N2433+N2436+N2437+N2439+N2440+N2442+N2443+N2445+N2446+N2448+N2451+N2454+N2460+N2469+N2472+N2475+N2478+N2484+N2487+N2490+N2493+N2496+N2499+N2502</f>
        <v>39</v>
      </c>
      <c r="J2778" s="425" t="s">
        <v>366</v>
      </c>
      <c r="K2778" s="464"/>
      <c r="L2778" s="464"/>
      <c r="M2778" s="423"/>
      <c r="N2778" s="423"/>
      <c r="O2778" s="377"/>
      <c r="P2778" s="377"/>
      <c r="Q2778" s="377"/>
      <c r="R2778" s="377"/>
      <c r="S2778" s="377"/>
      <c r="T2778" s="377"/>
      <c r="U2778" s="377"/>
      <c r="V2778" s="377"/>
      <c r="W2778" s="377"/>
      <c r="X2778" s="377"/>
      <c r="Y2778" s="377"/>
      <c r="Z2778" s="377"/>
      <c r="AA2778" s="377"/>
      <c r="AB2778" s="377"/>
      <c r="AC2778" s="377"/>
      <c r="AD2778" s="377"/>
      <c r="AE2778" s="377"/>
      <c r="AF2778" s="377"/>
      <c r="AG2778" s="377"/>
      <c r="AH2778" s="377"/>
      <c r="AI2778" s="377"/>
      <c r="AJ2778" s="377"/>
      <c r="AK2778" s="377"/>
      <c r="AL2778" s="377"/>
      <c r="AM2778" s="377"/>
      <c r="AN2778" s="377"/>
      <c r="AO2778" s="377"/>
      <c r="AP2778" s="377"/>
      <c r="AQ2778" s="377"/>
      <c r="AR2778" s="377"/>
      <c r="AS2778" s="377"/>
      <c r="AT2778" s="377"/>
      <c r="AU2778" s="377"/>
      <c r="AV2778" s="377"/>
      <c r="AW2778" s="377"/>
      <c r="AX2778" s="377"/>
      <c r="AY2778" s="377"/>
      <c r="AZ2778" s="377"/>
      <c r="BA2778" s="377"/>
      <c r="BB2778" s="377"/>
      <c r="BC2778" s="377"/>
      <c r="BD2778" s="377"/>
      <c r="BE2778" s="377"/>
      <c r="BF2778" s="377"/>
      <c r="BG2778" s="377"/>
      <c r="BH2778" s="377"/>
      <c r="BI2778" s="377"/>
      <c r="BJ2778" s="377"/>
      <c r="BK2778" s="377"/>
      <c r="BL2778" s="377"/>
      <c r="BM2778" s="377"/>
      <c r="BN2778" s="377"/>
      <c r="BO2778" s="377"/>
      <c r="BP2778" s="377"/>
      <c r="BQ2778" s="377"/>
    </row>
    <row r="2779" spans="1:69" hidden="1"/>
    <row r="2780" spans="1:69" hidden="1"/>
    <row r="2781" spans="1:69" ht="26.25" hidden="1" outlineLevel="1">
      <c r="A2781" s="566" t="s">
        <v>3350</v>
      </c>
      <c r="B2781" s="566"/>
      <c r="C2781" s="566"/>
      <c r="D2781" s="566"/>
      <c r="E2781" s="566"/>
      <c r="F2781" s="566"/>
      <c r="G2781" s="566"/>
      <c r="H2781" s="566"/>
      <c r="I2781" s="566"/>
      <c r="J2781" s="566"/>
      <c r="K2781" s="566"/>
      <c r="L2781" s="566"/>
      <c r="M2781" s="566"/>
      <c r="N2781" s="566"/>
    </row>
    <row r="2782" spans="1:69" hidden="1" outlineLevel="1">
      <c r="A2782" s="447"/>
      <c r="B2782" s="377"/>
      <c r="C2782" s="421"/>
      <c r="D2782" s="523"/>
      <c r="E2782" s="523"/>
      <c r="F2782" s="442"/>
      <c r="G2782" s="524"/>
      <c r="H2782" s="381" t="s">
        <v>368</v>
      </c>
      <c r="I2782" s="509"/>
      <c r="J2782" s="422"/>
      <c r="K2782" s="463"/>
      <c r="L2782" s="463"/>
      <c r="M2782" s="377"/>
      <c r="N2782" s="377"/>
    </row>
    <row r="2783" spans="1:69" hidden="1" outlineLevel="1">
      <c r="A2783" s="447"/>
      <c r="B2783" s="377"/>
      <c r="C2783" s="421"/>
      <c r="D2783" s="523"/>
      <c r="E2783" s="523"/>
      <c r="F2783" s="442"/>
      <c r="G2783" s="524"/>
      <c r="H2783" s="381"/>
      <c r="I2783" s="509"/>
      <c r="J2783" s="422"/>
      <c r="K2783" s="463"/>
      <c r="L2783" s="463"/>
      <c r="M2783" s="377"/>
      <c r="N2783" s="377"/>
    </row>
    <row r="2784" spans="1:69" s="426" customFormat="1" hidden="1" outlineLevel="1">
      <c r="A2784" s="448" t="s">
        <v>326</v>
      </c>
      <c r="B2784" s="392"/>
      <c r="C2784" s="414"/>
      <c r="D2784" s="490"/>
      <c r="E2784" s="424"/>
      <c r="F2784" s="443"/>
      <c r="G2784" s="525"/>
      <c r="H2784" s="385" t="s">
        <v>348</v>
      </c>
      <c r="I2784" s="510" t="e">
        <f t="shared" ref="I2784:I2806" si="7">I1269+I2732</f>
        <v>#REF!</v>
      </c>
      <c r="J2784" s="425" t="s">
        <v>365</v>
      </c>
      <c r="K2784" s="464"/>
      <c r="L2784" s="464"/>
      <c r="M2784" s="423"/>
      <c r="N2784" s="423"/>
      <c r="O2784" s="377"/>
      <c r="P2784" s="377"/>
      <c r="Q2784" s="377"/>
      <c r="R2784" s="377"/>
      <c r="S2784" s="377"/>
      <c r="T2784" s="377"/>
      <c r="U2784" s="377"/>
      <c r="V2784" s="377"/>
      <c r="W2784" s="377"/>
      <c r="X2784" s="377"/>
      <c r="Y2784" s="377"/>
      <c r="Z2784" s="377"/>
      <c r="AA2784" s="377"/>
      <c r="AB2784" s="377"/>
      <c r="AC2784" s="377"/>
      <c r="AD2784" s="377"/>
      <c r="AE2784" s="377"/>
      <c r="AF2784" s="377"/>
      <c r="AG2784" s="377"/>
      <c r="AH2784" s="377"/>
      <c r="AI2784" s="377"/>
      <c r="AJ2784" s="377"/>
      <c r="AK2784" s="377"/>
      <c r="AL2784" s="377"/>
      <c r="AM2784" s="377"/>
      <c r="AN2784" s="377"/>
      <c r="AO2784" s="377"/>
      <c r="AP2784" s="377"/>
      <c r="AQ2784" s="377"/>
      <c r="AR2784" s="377"/>
      <c r="AS2784" s="377"/>
      <c r="AT2784" s="377"/>
      <c r="AU2784" s="377"/>
      <c r="AV2784" s="377"/>
      <c r="AW2784" s="377"/>
      <c r="AX2784" s="377"/>
      <c r="AY2784" s="377"/>
      <c r="AZ2784" s="377"/>
      <c r="BA2784" s="377"/>
      <c r="BB2784" s="377"/>
      <c r="BC2784" s="377"/>
      <c r="BD2784" s="377"/>
      <c r="BE2784" s="377"/>
      <c r="BF2784" s="377"/>
      <c r="BG2784" s="377"/>
      <c r="BH2784" s="377"/>
      <c r="BI2784" s="377"/>
      <c r="BJ2784" s="377"/>
      <c r="BK2784" s="377"/>
      <c r="BL2784" s="377"/>
      <c r="BM2784" s="377"/>
      <c r="BN2784" s="377"/>
      <c r="BO2784" s="377"/>
      <c r="BP2784" s="377"/>
      <c r="BQ2784" s="377"/>
    </row>
    <row r="2785" spans="1:69" s="426" customFormat="1" hidden="1" outlineLevel="1">
      <c r="A2785" s="448" t="s">
        <v>325</v>
      </c>
      <c r="B2785" s="392"/>
      <c r="C2785" s="414"/>
      <c r="D2785" s="490"/>
      <c r="E2785" s="424"/>
      <c r="F2785" s="443"/>
      <c r="G2785" s="525"/>
      <c r="H2785" s="385" t="s">
        <v>349</v>
      </c>
      <c r="I2785" s="510" t="e">
        <f t="shared" si="7"/>
        <v>#REF!</v>
      </c>
      <c r="J2785" s="425" t="s">
        <v>365</v>
      </c>
      <c r="K2785" s="464"/>
      <c r="L2785" s="464"/>
      <c r="M2785" s="423"/>
      <c r="N2785" s="423"/>
      <c r="O2785" s="377"/>
      <c r="P2785" s="377"/>
      <c r="Q2785" s="377"/>
      <c r="R2785" s="377"/>
      <c r="S2785" s="377"/>
      <c r="T2785" s="377"/>
      <c r="U2785" s="377"/>
      <c r="V2785" s="377"/>
      <c r="W2785" s="377"/>
      <c r="X2785" s="377"/>
      <c r="Y2785" s="377"/>
      <c r="Z2785" s="377"/>
      <c r="AA2785" s="377"/>
      <c r="AB2785" s="377"/>
      <c r="AC2785" s="377"/>
      <c r="AD2785" s="377"/>
      <c r="AE2785" s="377"/>
      <c r="AF2785" s="377"/>
      <c r="AG2785" s="377"/>
      <c r="AH2785" s="377"/>
      <c r="AI2785" s="377"/>
      <c r="AJ2785" s="377"/>
      <c r="AK2785" s="377"/>
      <c r="AL2785" s="377"/>
      <c r="AM2785" s="377"/>
      <c r="AN2785" s="377"/>
      <c r="AO2785" s="377"/>
      <c r="AP2785" s="377"/>
      <c r="AQ2785" s="377"/>
      <c r="AR2785" s="377"/>
      <c r="AS2785" s="377"/>
      <c r="AT2785" s="377"/>
      <c r="AU2785" s="377"/>
      <c r="AV2785" s="377"/>
      <c r="AW2785" s="377"/>
      <c r="AX2785" s="377"/>
      <c r="AY2785" s="377"/>
      <c r="AZ2785" s="377"/>
      <c r="BA2785" s="377"/>
      <c r="BB2785" s="377"/>
      <c r="BC2785" s="377"/>
      <c r="BD2785" s="377"/>
      <c r="BE2785" s="377"/>
      <c r="BF2785" s="377"/>
      <c r="BG2785" s="377"/>
      <c r="BH2785" s="377"/>
      <c r="BI2785" s="377"/>
      <c r="BJ2785" s="377"/>
      <c r="BK2785" s="377"/>
      <c r="BL2785" s="377"/>
      <c r="BM2785" s="377"/>
      <c r="BN2785" s="377"/>
      <c r="BO2785" s="377"/>
      <c r="BP2785" s="377"/>
      <c r="BQ2785" s="377"/>
    </row>
    <row r="2786" spans="1:69" s="426" customFormat="1" ht="20.25" hidden="1" customHeight="1" outlineLevel="1">
      <c r="A2786" s="448" t="s">
        <v>327</v>
      </c>
      <c r="B2786" s="392"/>
      <c r="C2786" s="414"/>
      <c r="D2786" s="490"/>
      <c r="E2786" s="424"/>
      <c r="F2786" s="443"/>
      <c r="G2786" s="525"/>
      <c r="H2786" s="385" t="s">
        <v>350</v>
      </c>
      <c r="I2786" s="510" t="e">
        <f t="shared" si="7"/>
        <v>#REF!</v>
      </c>
      <c r="J2786" s="425" t="s">
        <v>365</v>
      </c>
      <c r="K2786" s="464"/>
      <c r="L2786" s="464"/>
      <c r="M2786" s="423"/>
      <c r="N2786" s="423"/>
      <c r="O2786" s="377"/>
      <c r="P2786" s="377"/>
      <c r="Q2786" s="377"/>
      <c r="R2786" s="377"/>
      <c r="S2786" s="377"/>
      <c r="T2786" s="377"/>
      <c r="U2786" s="377"/>
      <c r="V2786" s="377"/>
      <c r="W2786" s="377"/>
      <c r="X2786" s="377"/>
      <c r="Y2786" s="377"/>
      <c r="Z2786" s="377"/>
      <c r="AA2786" s="377"/>
      <c r="AB2786" s="377"/>
      <c r="AC2786" s="377"/>
      <c r="AD2786" s="377"/>
      <c r="AE2786" s="377"/>
      <c r="AF2786" s="377"/>
      <c r="AG2786" s="377"/>
      <c r="AH2786" s="377"/>
      <c r="AI2786" s="377"/>
      <c r="AJ2786" s="377"/>
      <c r="AK2786" s="377"/>
      <c r="AL2786" s="377"/>
      <c r="AM2786" s="377"/>
      <c r="AN2786" s="377"/>
      <c r="AO2786" s="377"/>
      <c r="AP2786" s="377"/>
      <c r="AQ2786" s="377"/>
      <c r="AR2786" s="377"/>
      <c r="AS2786" s="377"/>
      <c r="AT2786" s="377"/>
      <c r="AU2786" s="377"/>
      <c r="AV2786" s="377"/>
      <c r="AW2786" s="377"/>
      <c r="AX2786" s="377"/>
      <c r="AY2786" s="377"/>
      <c r="AZ2786" s="377"/>
      <c r="BA2786" s="377"/>
      <c r="BB2786" s="377"/>
      <c r="BC2786" s="377"/>
      <c r="BD2786" s="377"/>
      <c r="BE2786" s="377"/>
      <c r="BF2786" s="377"/>
      <c r="BG2786" s="377"/>
      <c r="BH2786" s="377"/>
      <c r="BI2786" s="377"/>
      <c r="BJ2786" s="377"/>
      <c r="BK2786" s="377"/>
      <c r="BL2786" s="377"/>
      <c r="BM2786" s="377"/>
      <c r="BN2786" s="377"/>
      <c r="BO2786" s="377"/>
      <c r="BP2786" s="377"/>
      <c r="BQ2786" s="377"/>
    </row>
    <row r="2787" spans="1:69" s="426" customFormat="1" hidden="1" outlineLevel="1">
      <c r="A2787" s="448" t="s">
        <v>328</v>
      </c>
      <c r="B2787" s="392"/>
      <c r="C2787" s="414"/>
      <c r="D2787" s="490"/>
      <c r="E2787" s="424"/>
      <c r="F2787" s="443"/>
      <c r="G2787" s="525"/>
      <c r="H2787" s="385" t="s">
        <v>351</v>
      </c>
      <c r="I2787" s="510" t="e">
        <f t="shared" si="7"/>
        <v>#REF!</v>
      </c>
      <c r="J2787" s="425" t="s">
        <v>365</v>
      </c>
      <c r="K2787" s="464"/>
      <c r="L2787" s="464"/>
      <c r="M2787" s="423"/>
      <c r="N2787" s="423"/>
      <c r="O2787" s="377"/>
      <c r="P2787" s="377"/>
      <c r="Q2787" s="377"/>
      <c r="R2787" s="377"/>
      <c r="S2787" s="377"/>
      <c r="T2787" s="377"/>
      <c r="U2787" s="377"/>
      <c r="V2787" s="377"/>
      <c r="W2787" s="377"/>
      <c r="X2787" s="377"/>
      <c r="Y2787" s="377"/>
      <c r="Z2787" s="377"/>
      <c r="AA2787" s="377"/>
      <c r="AB2787" s="377"/>
      <c r="AC2787" s="377"/>
      <c r="AD2787" s="377"/>
      <c r="AE2787" s="377"/>
      <c r="AF2787" s="377"/>
      <c r="AG2787" s="377"/>
      <c r="AH2787" s="377"/>
      <c r="AI2787" s="377"/>
      <c r="AJ2787" s="377"/>
      <c r="AK2787" s="377"/>
      <c r="AL2787" s="377"/>
      <c r="AM2787" s="377"/>
      <c r="AN2787" s="377"/>
      <c r="AO2787" s="377"/>
      <c r="AP2787" s="377"/>
      <c r="AQ2787" s="377"/>
      <c r="AR2787" s="377"/>
      <c r="AS2787" s="377"/>
      <c r="AT2787" s="377"/>
      <c r="AU2787" s="377"/>
      <c r="AV2787" s="377"/>
      <c r="AW2787" s="377"/>
      <c r="AX2787" s="377"/>
      <c r="AY2787" s="377"/>
      <c r="AZ2787" s="377"/>
      <c r="BA2787" s="377"/>
      <c r="BB2787" s="377"/>
      <c r="BC2787" s="377"/>
      <c r="BD2787" s="377"/>
      <c r="BE2787" s="377"/>
      <c r="BF2787" s="377"/>
      <c r="BG2787" s="377"/>
      <c r="BH2787" s="377"/>
      <c r="BI2787" s="377"/>
      <c r="BJ2787" s="377"/>
      <c r="BK2787" s="377"/>
      <c r="BL2787" s="377"/>
      <c r="BM2787" s="377"/>
      <c r="BN2787" s="377"/>
      <c r="BO2787" s="377"/>
      <c r="BP2787" s="377"/>
      <c r="BQ2787" s="377"/>
    </row>
    <row r="2788" spans="1:69" s="426" customFormat="1" hidden="1" outlineLevel="1">
      <c r="A2788" s="448" t="s">
        <v>329</v>
      </c>
      <c r="B2788" s="392"/>
      <c r="C2788" s="414"/>
      <c r="D2788" s="490"/>
      <c r="E2788" s="424"/>
      <c r="F2788" s="443"/>
      <c r="G2788" s="525"/>
      <c r="H2788" s="385" t="s">
        <v>353</v>
      </c>
      <c r="I2788" s="510">
        <f t="shared" si="7"/>
        <v>0</v>
      </c>
      <c r="J2788" s="425" t="s">
        <v>365</v>
      </c>
      <c r="K2788" s="464"/>
      <c r="L2788" s="464"/>
      <c r="M2788" s="423"/>
      <c r="N2788" s="423"/>
      <c r="O2788" s="377"/>
      <c r="P2788" s="377"/>
      <c r="Q2788" s="377"/>
      <c r="R2788" s="377"/>
      <c r="S2788" s="377"/>
      <c r="T2788" s="377"/>
      <c r="U2788" s="377"/>
      <c r="V2788" s="377"/>
      <c r="W2788" s="377"/>
      <c r="X2788" s="377"/>
      <c r="Y2788" s="377"/>
      <c r="Z2788" s="377"/>
      <c r="AA2788" s="377"/>
      <c r="AB2788" s="377"/>
      <c r="AC2788" s="377"/>
      <c r="AD2788" s="377"/>
      <c r="AE2788" s="377"/>
      <c r="AF2788" s="377"/>
      <c r="AG2788" s="377"/>
      <c r="AH2788" s="377"/>
      <c r="AI2788" s="377"/>
      <c r="AJ2788" s="377"/>
      <c r="AK2788" s="377"/>
      <c r="AL2788" s="377"/>
      <c r="AM2788" s="377"/>
      <c r="AN2788" s="377"/>
      <c r="AO2788" s="377"/>
      <c r="AP2788" s="377"/>
      <c r="AQ2788" s="377"/>
      <c r="AR2788" s="377"/>
      <c r="AS2788" s="377"/>
      <c r="AT2788" s="377"/>
      <c r="AU2788" s="377"/>
      <c r="AV2788" s="377"/>
      <c r="AW2788" s="377"/>
      <c r="AX2788" s="377"/>
      <c r="AY2788" s="377"/>
      <c r="AZ2788" s="377"/>
      <c r="BA2788" s="377"/>
      <c r="BB2788" s="377"/>
      <c r="BC2788" s="377"/>
      <c r="BD2788" s="377"/>
      <c r="BE2788" s="377"/>
      <c r="BF2788" s="377"/>
      <c r="BG2788" s="377"/>
      <c r="BH2788" s="377"/>
      <c r="BI2788" s="377"/>
      <c r="BJ2788" s="377"/>
      <c r="BK2788" s="377"/>
      <c r="BL2788" s="377"/>
      <c r="BM2788" s="377"/>
      <c r="BN2788" s="377"/>
      <c r="BO2788" s="377"/>
      <c r="BP2788" s="377"/>
      <c r="BQ2788" s="377"/>
    </row>
    <row r="2789" spans="1:69" s="426" customFormat="1" hidden="1" outlineLevel="1">
      <c r="A2789" s="448" t="s">
        <v>330</v>
      </c>
      <c r="B2789" s="392"/>
      <c r="C2789" s="414"/>
      <c r="D2789" s="490"/>
      <c r="E2789" s="424"/>
      <c r="F2789" s="443"/>
      <c r="G2789" s="525"/>
      <c r="H2789" s="385" t="s">
        <v>354</v>
      </c>
      <c r="I2789" s="510">
        <f t="shared" si="7"/>
        <v>1</v>
      </c>
      <c r="J2789" s="425" t="s">
        <v>365</v>
      </c>
      <c r="K2789" s="464"/>
      <c r="L2789" s="464"/>
      <c r="M2789" s="423"/>
      <c r="N2789" s="423"/>
      <c r="O2789" s="377"/>
      <c r="P2789" s="377"/>
      <c r="Q2789" s="377"/>
      <c r="R2789" s="377"/>
      <c r="S2789" s="377"/>
      <c r="T2789" s="377"/>
      <c r="U2789" s="377"/>
      <c r="V2789" s="377"/>
      <c r="W2789" s="377"/>
      <c r="X2789" s="377"/>
      <c r="Y2789" s="377"/>
      <c r="Z2789" s="377"/>
      <c r="AA2789" s="377"/>
      <c r="AB2789" s="377"/>
      <c r="AC2789" s="377"/>
      <c r="AD2789" s="377"/>
      <c r="AE2789" s="377"/>
      <c r="AF2789" s="377"/>
      <c r="AG2789" s="377"/>
      <c r="AH2789" s="377"/>
      <c r="AI2789" s="377"/>
      <c r="AJ2789" s="377"/>
      <c r="AK2789" s="377"/>
      <c r="AL2789" s="377"/>
      <c r="AM2789" s="377"/>
      <c r="AN2789" s="377"/>
      <c r="AO2789" s="377"/>
      <c r="AP2789" s="377"/>
      <c r="AQ2789" s="377"/>
      <c r="AR2789" s="377"/>
      <c r="AS2789" s="377"/>
      <c r="AT2789" s="377"/>
      <c r="AU2789" s="377"/>
      <c r="AV2789" s="377"/>
      <c r="AW2789" s="377"/>
      <c r="AX2789" s="377"/>
      <c r="AY2789" s="377"/>
      <c r="AZ2789" s="377"/>
      <c r="BA2789" s="377"/>
      <c r="BB2789" s="377"/>
      <c r="BC2789" s="377"/>
      <c r="BD2789" s="377"/>
      <c r="BE2789" s="377"/>
      <c r="BF2789" s="377"/>
      <c r="BG2789" s="377"/>
      <c r="BH2789" s="377"/>
      <c r="BI2789" s="377"/>
      <c r="BJ2789" s="377"/>
      <c r="BK2789" s="377"/>
      <c r="BL2789" s="377"/>
      <c r="BM2789" s="377"/>
      <c r="BN2789" s="377"/>
      <c r="BO2789" s="377"/>
      <c r="BP2789" s="377"/>
      <c r="BQ2789" s="377"/>
    </row>
    <row r="2790" spans="1:69" s="426" customFormat="1" hidden="1" outlineLevel="1">
      <c r="A2790" s="448" t="s">
        <v>331</v>
      </c>
      <c r="B2790" s="392"/>
      <c r="C2790" s="414"/>
      <c r="D2790" s="490"/>
      <c r="E2790" s="424"/>
      <c r="F2790" s="443"/>
      <c r="G2790" s="525"/>
      <c r="H2790" s="385" t="s">
        <v>352</v>
      </c>
      <c r="I2790" s="510">
        <f t="shared" si="7"/>
        <v>0</v>
      </c>
      <c r="J2790" s="425" t="s">
        <v>365</v>
      </c>
      <c r="K2790" s="464"/>
      <c r="L2790" s="464"/>
      <c r="M2790" s="423"/>
      <c r="N2790" s="423"/>
      <c r="O2790" s="377"/>
      <c r="P2790" s="377"/>
      <c r="Q2790" s="377"/>
      <c r="R2790" s="377"/>
      <c r="S2790" s="377"/>
      <c r="T2790" s="377"/>
      <c r="U2790" s="377"/>
      <c r="V2790" s="377"/>
      <c r="W2790" s="377"/>
      <c r="X2790" s="377"/>
      <c r="Y2790" s="377"/>
      <c r="Z2790" s="377"/>
      <c r="AA2790" s="377"/>
      <c r="AB2790" s="377"/>
      <c r="AC2790" s="377"/>
      <c r="AD2790" s="377"/>
      <c r="AE2790" s="377"/>
      <c r="AF2790" s="377"/>
      <c r="AG2790" s="377"/>
      <c r="AH2790" s="377"/>
      <c r="AI2790" s="377"/>
      <c r="AJ2790" s="377"/>
      <c r="AK2790" s="377"/>
      <c r="AL2790" s="377"/>
      <c r="AM2790" s="377"/>
      <c r="AN2790" s="377"/>
      <c r="AO2790" s="377"/>
      <c r="AP2790" s="377"/>
      <c r="AQ2790" s="377"/>
      <c r="AR2790" s="377"/>
      <c r="AS2790" s="377"/>
      <c r="AT2790" s="377"/>
      <c r="AU2790" s="377"/>
      <c r="AV2790" s="377"/>
      <c r="AW2790" s="377"/>
      <c r="AX2790" s="377"/>
      <c r="AY2790" s="377"/>
      <c r="AZ2790" s="377"/>
      <c r="BA2790" s="377"/>
      <c r="BB2790" s="377"/>
      <c r="BC2790" s="377"/>
      <c r="BD2790" s="377"/>
      <c r="BE2790" s="377"/>
      <c r="BF2790" s="377"/>
      <c r="BG2790" s="377"/>
      <c r="BH2790" s="377"/>
      <c r="BI2790" s="377"/>
      <c r="BJ2790" s="377"/>
      <c r="BK2790" s="377"/>
      <c r="BL2790" s="377"/>
      <c r="BM2790" s="377"/>
      <c r="BN2790" s="377"/>
      <c r="BO2790" s="377"/>
      <c r="BP2790" s="377"/>
      <c r="BQ2790" s="377"/>
    </row>
    <row r="2791" spans="1:69" s="426" customFormat="1" hidden="1" outlineLevel="1">
      <c r="A2791" s="448" t="s">
        <v>334</v>
      </c>
      <c r="B2791" s="392"/>
      <c r="C2791" s="414"/>
      <c r="D2791" s="490"/>
      <c r="E2791" s="424"/>
      <c r="F2791" s="443"/>
      <c r="G2791" s="525"/>
      <c r="H2791" s="385" t="s">
        <v>357</v>
      </c>
      <c r="I2791" s="510">
        <f t="shared" si="7"/>
        <v>4</v>
      </c>
      <c r="J2791" s="425" t="s">
        <v>365</v>
      </c>
      <c r="K2791" s="464"/>
      <c r="L2791" s="464"/>
      <c r="M2791" s="423"/>
      <c r="N2791" s="423"/>
      <c r="O2791" s="377"/>
      <c r="P2791" s="377"/>
      <c r="Q2791" s="377"/>
      <c r="R2791" s="377"/>
      <c r="S2791" s="377"/>
      <c r="T2791" s="377"/>
      <c r="U2791" s="377"/>
      <c r="V2791" s="377"/>
      <c r="W2791" s="377"/>
      <c r="X2791" s="377"/>
      <c r="Y2791" s="377"/>
      <c r="Z2791" s="377"/>
      <c r="AA2791" s="377"/>
      <c r="AB2791" s="377"/>
      <c r="AC2791" s="377"/>
      <c r="AD2791" s="377"/>
      <c r="AE2791" s="377"/>
      <c r="AF2791" s="377"/>
      <c r="AG2791" s="377"/>
      <c r="AH2791" s="377"/>
      <c r="AI2791" s="377"/>
      <c r="AJ2791" s="377"/>
      <c r="AK2791" s="377"/>
      <c r="AL2791" s="377"/>
      <c r="AM2791" s="377"/>
      <c r="AN2791" s="377"/>
      <c r="AO2791" s="377"/>
      <c r="AP2791" s="377"/>
      <c r="AQ2791" s="377"/>
      <c r="AR2791" s="377"/>
      <c r="AS2791" s="377"/>
      <c r="AT2791" s="377"/>
      <c r="AU2791" s="377"/>
      <c r="AV2791" s="377"/>
      <c r="AW2791" s="377"/>
      <c r="AX2791" s="377"/>
      <c r="AY2791" s="377"/>
      <c r="AZ2791" s="377"/>
      <c r="BA2791" s="377"/>
      <c r="BB2791" s="377"/>
      <c r="BC2791" s="377"/>
      <c r="BD2791" s="377"/>
      <c r="BE2791" s="377"/>
      <c r="BF2791" s="377"/>
      <c r="BG2791" s="377"/>
      <c r="BH2791" s="377"/>
      <c r="BI2791" s="377"/>
      <c r="BJ2791" s="377"/>
      <c r="BK2791" s="377"/>
      <c r="BL2791" s="377"/>
      <c r="BM2791" s="377"/>
      <c r="BN2791" s="377"/>
      <c r="BO2791" s="377"/>
      <c r="BP2791" s="377"/>
      <c r="BQ2791" s="377"/>
    </row>
    <row r="2792" spans="1:69" s="426" customFormat="1" hidden="1" outlineLevel="1">
      <c r="A2792" s="448" t="s">
        <v>337</v>
      </c>
      <c r="B2792" s="392"/>
      <c r="C2792" s="414"/>
      <c r="D2792" s="490"/>
      <c r="E2792" s="424"/>
      <c r="F2792" s="443"/>
      <c r="G2792" s="525"/>
      <c r="H2792" s="385" t="s">
        <v>358</v>
      </c>
      <c r="I2792" s="510">
        <f t="shared" si="7"/>
        <v>26</v>
      </c>
      <c r="J2792" s="425" t="s">
        <v>365</v>
      </c>
      <c r="K2792" s="464"/>
      <c r="L2792" s="464"/>
      <c r="M2792" s="423"/>
      <c r="N2792" s="423"/>
      <c r="O2792" s="377"/>
      <c r="P2792" s="377"/>
      <c r="Q2792" s="377"/>
      <c r="R2792" s="377"/>
      <c r="S2792" s="377"/>
      <c r="T2792" s="377"/>
      <c r="U2792" s="377"/>
      <c r="V2792" s="377"/>
      <c r="W2792" s="377"/>
      <c r="X2792" s="377"/>
      <c r="Y2792" s="377"/>
      <c r="Z2792" s="377"/>
      <c r="AA2792" s="377"/>
      <c r="AB2792" s="377"/>
      <c r="AC2792" s="377"/>
      <c r="AD2792" s="377"/>
      <c r="AE2792" s="377"/>
      <c r="AF2792" s="377"/>
      <c r="AG2792" s="377"/>
      <c r="AH2792" s="377"/>
      <c r="AI2792" s="377"/>
      <c r="AJ2792" s="377"/>
      <c r="AK2792" s="377"/>
      <c r="AL2792" s="377"/>
      <c r="AM2792" s="377"/>
      <c r="AN2792" s="377"/>
      <c r="AO2792" s="377"/>
      <c r="AP2792" s="377"/>
      <c r="AQ2792" s="377"/>
      <c r="AR2792" s="377"/>
      <c r="AS2792" s="377"/>
      <c r="AT2792" s="377"/>
      <c r="AU2792" s="377"/>
      <c r="AV2792" s="377"/>
      <c r="AW2792" s="377"/>
      <c r="AX2792" s="377"/>
      <c r="AY2792" s="377"/>
      <c r="AZ2792" s="377"/>
      <c r="BA2792" s="377"/>
      <c r="BB2792" s="377"/>
      <c r="BC2792" s="377"/>
      <c r="BD2792" s="377"/>
      <c r="BE2792" s="377"/>
      <c r="BF2792" s="377"/>
      <c r="BG2792" s="377"/>
      <c r="BH2792" s="377"/>
      <c r="BI2792" s="377"/>
      <c r="BJ2792" s="377"/>
      <c r="BK2792" s="377"/>
      <c r="BL2792" s="377"/>
      <c r="BM2792" s="377"/>
      <c r="BN2792" s="377"/>
      <c r="BO2792" s="377"/>
      <c r="BP2792" s="377"/>
      <c r="BQ2792" s="377"/>
    </row>
    <row r="2793" spans="1:69" s="426" customFormat="1" hidden="1" outlineLevel="1">
      <c r="A2793" s="448" t="s">
        <v>339</v>
      </c>
      <c r="B2793" s="392"/>
      <c r="C2793" s="414"/>
      <c r="D2793" s="490"/>
      <c r="E2793" s="424"/>
      <c r="F2793" s="443"/>
      <c r="G2793" s="525"/>
      <c r="H2793" s="385" t="s">
        <v>359</v>
      </c>
      <c r="I2793" s="510">
        <f t="shared" si="7"/>
        <v>75</v>
      </c>
      <c r="J2793" s="425" t="s">
        <v>365</v>
      </c>
      <c r="K2793" s="464"/>
      <c r="L2793" s="464"/>
      <c r="M2793" s="423"/>
      <c r="N2793" s="423"/>
      <c r="O2793" s="377"/>
      <c r="P2793" s="377"/>
      <c r="Q2793" s="377"/>
      <c r="R2793" s="377"/>
      <c r="S2793" s="377"/>
      <c r="T2793" s="377"/>
      <c r="U2793" s="377"/>
      <c r="V2793" s="377"/>
      <c r="W2793" s="377"/>
      <c r="X2793" s="377"/>
      <c r="Y2793" s="377"/>
      <c r="Z2793" s="377"/>
      <c r="AA2793" s="377"/>
      <c r="AB2793" s="377"/>
      <c r="AC2793" s="377"/>
      <c r="AD2793" s="377"/>
      <c r="AE2793" s="377"/>
      <c r="AF2793" s="377"/>
      <c r="AG2793" s="377"/>
      <c r="AH2793" s="377"/>
      <c r="AI2793" s="377"/>
      <c r="AJ2793" s="377"/>
      <c r="AK2793" s="377"/>
      <c r="AL2793" s="377"/>
      <c r="AM2793" s="377"/>
      <c r="AN2793" s="377"/>
      <c r="AO2793" s="377"/>
      <c r="AP2793" s="377"/>
      <c r="AQ2793" s="377"/>
      <c r="AR2793" s="377"/>
      <c r="AS2793" s="377"/>
      <c r="AT2793" s="377"/>
      <c r="AU2793" s="377"/>
      <c r="AV2793" s="377"/>
      <c r="AW2793" s="377"/>
      <c r="AX2793" s="377"/>
      <c r="AY2793" s="377"/>
      <c r="AZ2793" s="377"/>
      <c r="BA2793" s="377"/>
      <c r="BB2793" s="377"/>
      <c r="BC2793" s="377"/>
      <c r="BD2793" s="377"/>
      <c r="BE2793" s="377"/>
      <c r="BF2793" s="377"/>
      <c r="BG2793" s="377"/>
      <c r="BH2793" s="377"/>
      <c r="BI2793" s="377"/>
      <c r="BJ2793" s="377"/>
      <c r="BK2793" s="377"/>
      <c r="BL2793" s="377"/>
      <c r="BM2793" s="377"/>
      <c r="BN2793" s="377"/>
      <c r="BO2793" s="377"/>
      <c r="BP2793" s="377"/>
      <c r="BQ2793" s="377"/>
    </row>
    <row r="2794" spans="1:69" s="426" customFormat="1" hidden="1" outlineLevel="1">
      <c r="A2794" s="448" t="s">
        <v>360</v>
      </c>
      <c r="B2794" s="392"/>
      <c r="C2794" s="414"/>
      <c r="D2794" s="490"/>
      <c r="E2794" s="424"/>
      <c r="F2794" s="443"/>
      <c r="G2794" s="525"/>
      <c r="H2794" s="385" t="s">
        <v>347</v>
      </c>
      <c r="I2794" s="510">
        <f t="shared" si="7"/>
        <v>53</v>
      </c>
      <c r="J2794" s="425" t="s">
        <v>365</v>
      </c>
      <c r="K2794" s="464"/>
      <c r="L2794" s="464"/>
      <c r="M2794" s="423"/>
      <c r="N2794" s="423"/>
      <c r="O2794" s="377"/>
      <c r="P2794" s="377"/>
      <c r="Q2794" s="377"/>
      <c r="R2794" s="377"/>
      <c r="S2794" s="377"/>
      <c r="T2794" s="377"/>
      <c r="U2794" s="377"/>
      <c r="V2794" s="377"/>
      <c r="W2794" s="377"/>
      <c r="X2794" s="377"/>
      <c r="Y2794" s="377"/>
      <c r="Z2794" s="377"/>
      <c r="AA2794" s="377"/>
      <c r="AB2794" s="377"/>
      <c r="AC2794" s="377"/>
      <c r="AD2794" s="377"/>
      <c r="AE2794" s="377"/>
      <c r="AF2794" s="377"/>
      <c r="AG2794" s="377"/>
      <c r="AH2794" s="377"/>
      <c r="AI2794" s="377"/>
      <c r="AJ2794" s="377"/>
      <c r="AK2794" s="377"/>
      <c r="AL2794" s="377"/>
      <c r="AM2794" s="377"/>
      <c r="AN2794" s="377"/>
      <c r="AO2794" s="377"/>
      <c r="AP2794" s="377"/>
      <c r="AQ2794" s="377"/>
      <c r="AR2794" s="377"/>
      <c r="AS2794" s="377"/>
      <c r="AT2794" s="377"/>
      <c r="AU2794" s="377"/>
      <c r="AV2794" s="377"/>
      <c r="AW2794" s="377"/>
      <c r="AX2794" s="377"/>
      <c r="AY2794" s="377"/>
      <c r="AZ2794" s="377"/>
      <c r="BA2794" s="377"/>
      <c r="BB2794" s="377"/>
      <c r="BC2794" s="377"/>
      <c r="BD2794" s="377"/>
      <c r="BE2794" s="377"/>
      <c r="BF2794" s="377"/>
      <c r="BG2794" s="377"/>
      <c r="BH2794" s="377"/>
      <c r="BI2794" s="377"/>
      <c r="BJ2794" s="377"/>
      <c r="BK2794" s="377"/>
      <c r="BL2794" s="377"/>
      <c r="BM2794" s="377"/>
      <c r="BN2794" s="377"/>
      <c r="BO2794" s="377"/>
      <c r="BP2794" s="377"/>
      <c r="BQ2794" s="377"/>
    </row>
    <row r="2795" spans="1:69" s="426" customFormat="1" hidden="1" outlineLevel="1">
      <c r="A2795" s="448" t="s">
        <v>361</v>
      </c>
      <c r="B2795" s="392"/>
      <c r="C2795" s="414"/>
      <c r="D2795" s="490"/>
      <c r="E2795" s="424"/>
      <c r="F2795" s="443"/>
      <c r="G2795" s="525"/>
      <c r="H2795" s="385" t="s">
        <v>355</v>
      </c>
      <c r="I2795" s="510">
        <f t="shared" si="7"/>
        <v>0</v>
      </c>
      <c r="J2795" s="425" t="s">
        <v>365</v>
      </c>
      <c r="K2795" s="464"/>
      <c r="L2795" s="464"/>
      <c r="M2795" s="423"/>
      <c r="N2795" s="423"/>
      <c r="O2795" s="377"/>
      <c r="P2795" s="377"/>
      <c r="Q2795" s="377"/>
      <c r="R2795" s="377"/>
      <c r="S2795" s="377"/>
      <c r="T2795" s="377"/>
      <c r="U2795" s="377"/>
      <c r="V2795" s="377"/>
      <c r="W2795" s="377"/>
      <c r="X2795" s="377"/>
      <c r="Y2795" s="377"/>
      <c r="Z2795" s="377"/>
      <c r="AA2795" s="377"/>
      <c r="AB2795" s="377"/>
      <c r="AC2795" s="377"/>
      <c r="AD2795" s="377"/>
      <c r="AE2795" s="377"/>
      <c r="AF2795" s="377"/>
      <c r="AG2795" s="377"/>
      <c r="AH2795" s="377"/>
      <c r="AI2795" s="377"/>
      <c r="AJ2795" s="377"/>
      <c r="AK2795" s="377"/>
      <c r="AL2795" s="377"/>
      <c r="AM2795" s="377"/>
      <c r="AN2795" s="377"/>
      <c r="AO2795" s="377"/>
      <c r="AP2795" s="377"/>
      <c r="AQ2795" s="377"/>
      <c r="AR2795" s="377"/>
      <c r="AS2795" s="377"/>
      <c r="AT2795" s="377"/>
      <c r="AU2795" s="377"/>
      <c r="AV2795" s="377"/>
      <c r="AW2795" s="377"/>
      <c r="AX2795" s="377"/>
      <c r="AY2795" s="377"/>
      <c r="AZ2795" s="377"/>
      <c r="BA2795" s="377"/>
      <c r="BB2795" s="377"/>
      <c r="BC2795" s="377"/>
      <c r="BD2795" s="377"/>
      <c r="BE2795" s="377"/>
      <c r="BF2795" s="377"/>
      <c r="BG2795" s="377"/>
      <c r="BH2795" s="377"/>
      <c r="BI2795" s="377"/>
      <c r="BJ2795" s="377"/>
      <c r="BK2795" s="377"/>
      <c r="BL2795" s="377"/>
      <c r="BM2795" s="377"/>
      <c r="BN2795" s="377"/>
      <c r="BO2795" s="377"/>
      <c r="BP2795" s="377"/>
      <c r="BQ2795" s="377"/>
    </row>
    <row r="2796" spans="1:69" s="426" customFormat="1" hidden="1" outlineLevel="1">
      <c r="A2796" s="448" t="s">
        <v>362</v>
      </c>
      <c r="B2796" s="392"/>
      <c r="C2796" s="414"/>
      <c r="D2796" s="490"/>
      <c r="E2796" s="424"/>
      <c r="F2796" s="443"/>
      <c r="G2796" s="525"/>
      <c r="H2796" s="385" t="s">
        <v>356</v>
      </c>
      <c r="I2796" s="510">
        <f t="shared" si="7"/>
        <v>12</v>
      </c>
      <c r="J2796" s="425" t="s">
        <v>365</v>
      </c>
      <c r="K2796" s="464"/>
      <c r="L2796" s="464"/>
      <c r="M2796" s="423"/>
      <c r="N2796" s="423"/>
      <c r="O2796" s="377"/>
      <c r="P2796" s="377"/>
      <c r="Q2796" s="377"/>
      <c r="R2796" s="377"/>
      <c r="S2796" s="377"/>
      <c r="T2796" s="377"/>
      <c r="U2796" s="377"/>
      <c r="V2796" s="377"/>
      <c r="W2796" s="377"/>
      <c r="X2796" s="377"/>
      <c r="Y2796" s="377"/>
      <c r="Z2796" s="377"/>
      <c r="AA2796" s="377"/>
      <c r="AB2796" s="377"/>
      <c r="AC2796" s="377"/>
      <c r="AD2796" s="377"/>
      <c r="AE2796" s="377"/>
      <c r="AF2796" s="377"/>
      <c r="AG2796" s="377"/>
      <c r="AH2796" s="377"/>
      <c r="AI2796" s="377"/>
      <c r="AJ2796" s="377"/>
      <c r="AK2796" s="377"/>
      <c r="AL2796" s="377"/>
      <c r="AM2796" s="377"/>
      <c r="AN2796" s="377"/>
      <c r="AO2796" s="377"/>
      <c r="AP2796" s="377"/>
      <c r="AQ2796" s="377"/>
      <c r="AR2796" s="377"/>
      <c r="AS2796" s="377"/>
      <c r="AT2796" s="377"/>
      <c r="AU2796" s="377"/>
      <c r="AV2796" s="377"/>
      <c r="AW2796" s="377"/>
      <c r="AX2796" s="377"/>
      <c r="AY2796" s="377"/>
      <c r="AZ2796" s="377"/>
      <c r="BA2796" s="377"/>
      <c r="BB2796" s="377"/>
      <c r="BC2796" s="377"/>
      <c r="BD2796" s="377"/>
      <c r="BE2796" s="377"/>
      <c r="BF2796" s="377"/>
      <c r="BG2796" s="377"/>
      <c r="BH2796" s="377"/>
      <c r="BI2796" s="377"/>
      <c r="BJ2796" s="377"/>
      <c r="BK2796" s="377"/>
      <c r="BL2796" s="377"/>
      <c r="BM2796" s="377"/>
      <c r="BN2796" s="377"/>
      <c r="BO2796" s="377"/>
      <c r="BP2796" s="377"/>
      <c r="BQ2796" s="377"/>
    </row>
    <row r="2797" spans="1:69" s="426" customFormat="1" ht="40.5" hidden="1" outlineLevel="1">
      <c r="A2797" s="448" t="s">
        <v>363</v>
      </c>
      <c r="B2797" s="392"/>
      <c r="C2797" s="414"/>
      <c r="D2797" s="490"/>
      <c r="E2797" s="424"/>
      <c r="F2797" s="443"/>
      <c r="G2797" s="525"/>
      <c r="H2797" s="401" t="s">
        <v>385</v>
      </c>
      <c r="I2797" s="510">
        <f t="shared" si="7"/>
        <v>1818.8164999999999</v>
      </c>
      <c r="J2797" s="425" t="s">
        <v>365</v>
      </c>
      <c r="K2797" s="464"/>
      <c r="L2797" s="464"/>
      <c r="M2797" s="423"/>
      <c r="N2797" s="423"/>
      <c r="O2797" s="377"/>
      <c r="P2797" s="377"/>
      <c r="Q2797" s="377"/>
      <c r="R2797" s="377"/>
      <c r="S2797" s="377"/>
      <c r="T2797" s="377"/>
      <c r="U2797" s="377"/>
      <c r="V2797" s="377"/>
      <c r="W2797" s="377"/>
      <c r="X2797" s="377"/>
      <c r="Y2797" s="377"/>
      <c r="Z2797" s="377"/>
      <c r="AA2797" s="377"/>
      <c r="AB2797" s="377"/>
      <c r="AC2797" s="377"/>
      <c r="AD2797" s="377"/>
      <c r="AE2797" s="377"/>
      <c r="AF2797" s="377"/>
      <c r="AG2797" s="377"/>
      <c r="AH2797" s="377"/>
      <c r="AI2797" s="377"/>
      <c r="AJ2797" s="377"/>
      <c r="AK2797" s="377"/>
      <c r="AL2797" s="377"/>
      <c r="AM2797" s="377"/>
      <c r="AN2797" s="377"/>
      <c r="AO2797" s="377"/>
      <c r="AP2797" s="377"/>
      <c r="AQ2797" s="377"/>
      <c r="AR2797" s="377"/>
      <c r="AS2797" s="377"/>
      <c r="AT2797" s="377"/>
      <c r="AU2797" s="377"/>
      <c r="AV2797" s="377"/>
      <c r="AW2797" s="377"/>
      <c r="AX2797" s="377"/>
      <c r="AY2797" s="377"/>
      <c r="AZ2797" s="377"/>
      <c r="BA2797" s="377"/>
      <c r="BB2797" s="377"/>
      <c r="BC2797" s="377"/>
      <c r="BD2797" s="377"/>
      <c r="BE2797" s="377"/>
      <c r="BF2797" s="377"/>
      <c r="BG2797" s="377"/>
      <c r="BH2797" s="377"/>
      <c r="BI2797" s="377"/>
      <c r="BJ2797" s="377"/>
      <c r="BK2797" s="377"/>
      <c r="BL2797" s="377"/>
      <c r="BM2797" s="377"/>
      <c r="BN2797" s="377"/>
      <c r="BO2797" s="377"/>
      <c r="BP2797" s="377"/>
      <c r="BQ2797" s="377"/>
    </row>
    <row r="2798" spans="1:69" s="426" customFormat="1" hidden="1" outlineLevel="1">
      <c r="A2798" s="448" t="s">
        <v>364</v>
      </c>
      <c r="B2798" s="392"/>
      <c r="C2798" s="414"/>
      <c r="D2798" s="490"/>
      <c r="E2798" s="424"/>
      <c r="F2798" s="443"/>
      <c r="G2798" s="525"/>
      <c r="H2798" s="401" t="s">
        <v>386</v>
      </c>
      <c r="I2798" s="510">
        <f t="shared" si="7"/>
        <v>250.93000000000004</v>
      </c>
      <c r="J2798" s="425" t="s">
        <v>365</v>
      </c>
      <c r="K2798" s="464"/>
      <c r="L2798" s="464"/>
      <c r="M2798" s="423"/>
      <c r="N2798" s="423"/>
      <c r="O2798" s="377"/>
      <c r="P2798" s="377"/>
      <c r="Q2798" s="377"/>
      <c r="R2798" s="377"/>
      <c r="S2798" s="377"/>
      <c r="T2798" s="377"/>
      <c r="U2798" s="377"/>
      <c r="V2798" s="377"/>
      <c r="W2798" s="377"/>
      <c r="X2798" s="377"/>
      <c r="Y2798" s="377"/>
      <c r="Z2798" s="377"/>
      <c r="AA2798" s="377"/>
      <c r="AB2798" s="377"/>
      <c r="AC2798" s="377"/>
      <c r="AD2798" s="377"/>
      <c r="AE2798" s="377"/>
      <c r="AF2798" s="377"/>
      <c r="AG2798" s="377"/>
      <c r="AH2798" s="377"/>
      <c r="AI2798" s="377"/>
      <c r="AJ2798" s="377"/>
      <c r="AK2798" s="377"/>
      <c r="AL2798" s="377"/>
      <c r="AM2798" s="377"/>
      <c r="AN2798" s="377"/>
      <c r="AO2798" s="377"/>
      <c r="AP2798" s="377"/>
      <c r="AQ2798" s="377"/>
      <c r="AR2798" s="377"/>
      <c r="AS2798" s="377"/>
      <c r="AT2798" s="377"/>
      <c r="AU2798" s="377"/>
      <c r="AV2798" s="377"/>
      <c r="AW2798" s="377"/>
      <c r="AX2798" s="377"/>
      <c r="AY2798" s="377"/>
      <c r="AZ2798" s="377"/>
      <c r="BA2798" s="377"/>
      <c r="BB2798" s="377"/>
      <c r="BC2798" s="377"/>
      <c r="BD2798" s="377"/>
      <c r="BE2798" s="377"/>
      <c r="BF2798" s="377"/>
      <c r="BG2798" s="377"/>
      <c r="BH2798" s="377"/>
      <c r="BI2798" s="377"/>
      <c r="BJ2798" s="377"/>
      <c r="BK2798" s="377"/>
      <c r="BL2798" s="377"/>
      <c r="BM2798" s="377"/>
      <c r="BN2798" s="377"/>
      <c r="BO2798" s="377"/>
      <c r="BP2798" s="377"/>
      <c r="BQ2798" s="377"/>
    </row>
    <row r="2799" spans="1:69" s="426" customFormat="1" ht="40.5" hidden="1" outlineLevel="1">
      <c r="A2799" s="448"/>
      <c r="B2799" s="392"/>
      <c r="C2799" s="414"/>
      <c r="D2799" s="490"/>
      <c r="E2799" s="424"/>
      <c r="F2799" s="443"/>
      <c r="G2799" s="525"/>
      <c r="H2799" s="401" t="s">
        <v>381</v>
      </c>
      <c r="I2799" s="510">
        <f t="shared" si="7"/>
        <v>785.41700000000003</v>
      </c>
      <c r="J2799" s="425" t="s">
        <v>365</v>
      </c>
      <c r="K2799" s="464"/>
      <c r="L2799" s="464"/>
      <c r="M2799" s="423"/>
      <c r="N2799" s="423"/>
      <c r="O2799" s="377"/>
      <c r="P2799" s="377"/>
      <c r="Q2799" s="377"/>
      <c r="R2799" s="377"/>
      <c r="S2799" s="377"/>
      <c r="T2799" s="377"/>
      <c r="U2799" s="377"/>
      <c r="V2799" s="377"/>
      <c r="W2799" s="377"/>
      <c r="X2799" s="377"/>
      <c r="Y2799" s="377"/>
      <c r="Z2799" s="377"/>
      <c r="AA2799" s="377"/>
      <c r="AB2799" s="377"/>
      <c r="AC2799" s="377"/>
      <c r="AD2799" s="377"/>
      <c r="AE2799" s="377"/>
      <c r="AF2799" s="377"/>
      <c r="AG2799" s="377"/>
      <c r="AH2799" s="377"/>
      <c r="AI2799" s="377"/>
      <c r="AJ2799" s="377"/>
      <c r="AK2799" s="377"/>
      <c r="AL2799" s="377"/>
      <c r="AM2799" s="377"/>
      <c r="AN2799" s="377"/>
      <c r="AO2799" s="377"/>
      <c r="AP2799" s="377"/>
      <c r="AQ2799" s="377"/>
      <c r="AR2799" s="377"/>
      <c r="AS2799" s="377"/>
      <c r="AT2799" s="377"/>
      <c r="AU2799" s="377"/>
      <c r="AV2799" s="377"/>
      <c r="AW2799" s="377"/>
      <c r="AX2799" s="377"/>
      <c r="AY2799" s="377"/>
      <c r="AZ2799" s="377"/>
      <c r="BA2799" s="377"/>
      <c r="BB2799" s="377"/>
      <c r="BC2799" s="377"/>
      <c r="BD2799" s="377"/>
      <c r="BE2799" s="377"/>
      <c r="BF2799" s="377"/>
      <c r="BG2799" s="377"/>
      <c r="BH2799" s="377"/>
      <c r="BI2799" s="377"/>
      <c r="BJ2799" s="377"/>
      <c r="BK2799" s="377"/>
      <c r="BL2799" s="377"/>
      <c r="BM2799" s="377"/>
      <c r="BN2799" s="377"/>
      <c r="BO2799" s="377"/>
      <c r="BP2799" s="377"/>
      <c r="BQ2799" s="377"/>
    </row>
    <row r="2800" spans="1:69" s="426" customFormat="1" hidden="1" outlineLevel="1">
      <c r="A2800" s="448"/>
      <c r="B2800" s="392"/>
      <c r="C2800" s="414"/>
      <c r="D2800" s="490"/>
      <c r="E2800" s="424"/>
      <c r="F2800" s="443"/>
      <c r="G2800" s="525"/>
      <c r="H2800" s="401" t="s">
        <v>382</v>
      </c>
      <c r="I2800" s="510">
        <f t="shared" si="7"/>
        <v>223.26000000000005</v>
      </c>
      <c r="J2800" s="425" t="s">
        <v>365</v>
      </c>
      <c r="K2800" s="464"/>
      <c r="L2800" s="464"/>
      <c r="M2800" s="423"/>
      <c r="N2800" s="423"/>
      <c r="O2800" s="377"/>
      <c r="P2800" s="377"/>
      <c r="Q2800" s="377"/>
      <c r="R2800" s="377"/>
      <c r="S2800" s="377"/>
      <c r="T2800" s="377"/>
      <c r="U2800" s="377"/>
      <c r="V2800" s="377"/>
      <c r="W2800" s="377"/>
      <c r="X2800" s="377"/>
      <c r="Y2800" s="377"/>
      <c r="Z2800" s="377"/>
      <c r="AA2800" s="377"/>
      <c r="AB2800" s="377"/>
      <c r="AC2800" s="377"/>
      <c r="AD2800" s="377"/>
      <c r="AE2800" s="377"/>
      <c r="AF2800" s="377"/>
      <c r="AG2800" s="377"/>
      <c r="AH2800" s="377"/>
      <c r="AI2800" s="377"/>
      <c r="AJ2800" s="377"/>
      <c r="AK2800" s="377"/>
      <c r="AL2800" s="377"/>
      <c r="AM2800" s="377"/>
      <c r="AN2800" s="377"/>
      <c r="AO2800" s="377"/>
      <c r="AP2800" s="377"/>
      <c r="AQ2800" s="377"/>
      <c r="AR2800" s="377"/>
      <c r="AS2800" s="377"/>
      <c r="AT2800" s="377"/>
      <c r="AU2800" s="377"/>
      <c r="AV2800" s="377"/>
      <c r="AW2800" s="377"/>
      <c r="AX2800" s="377"/>
      <c r="AY2800" s="377"/>
      <c r="AZ2800" s="377"/>
      <c r="BA2800" s="377"/>
      <c r="BB2800" s="377"/>
      <c r="BC2800" s="377"/>
      <c r="BD2800" s="377"/>
      <c r="BE2800" s="377"/>
      <c r="BF2800" s="377"/>
      <c r="BG2800" s="377"/>
      <c r="BH2800" s="377"/>
      <c r="BI2800" s="377"/>
      <c r="BJ2800" s="377"/>
      <c r="BK2800" s="377"/>
      <c r="BL2800" s="377"/>
      <c r="BM2800" s="377"/>
      <c r="BN2800" s="377"/>
      <c r="BO2800" s="377"/>
      <c r="BP2800" s="377"/>
      <c r="BQ2800" s="377"/>
    </row>
    <row r="2801" spans="1:69" s="426" customFormat="1" ht="40.5" hidden="1" outlineLevel="1">
      <c r="A2801" s="448"/>
      <c r="B2801" s="392"/>
      <c r="C2801" s="414"/>
      <c r="D2801" s="490"/>
      <c r="E2801" s="424"/>
      <c r="F2801" s="443"/>
      <c r="G2801" s="525"/>
      <c r="H2801" s="401" t="s">
        <v>383</v>
      </c>
      <c r="I2801" s="510">
        <f t="shared" si="7"/>
        <v>297.95749999999998</v>
      </c>
      <c r="J2801" s="425" t="s">
        <v>365</v>
      </c>
      <c r="K2801" s="464"/>
      <c r="L2801" s="464"/>
      <c r="M2801" s="423"/>
      <c r="N2801" s="423"/>
      <c r="O2801" s="377"/>
      <c r="P2801" s="377"/>
      <c r="Q2801" s="377"/>
      <c r="R2801" s="377"/>
      <c r="S2801" s="377"/>
      <c r="T2801" s="377"/>
      <c r="U2801" s="377"/>
      <c r="V2801" s="377"/>
      <c r="W2801" s="377"/>
      <c r="X2801" s="377"/>
      <c r="Y2801" s="377"/>
      <c r="Z2801" s="377"/>
      <c r="AA2801" s="377"/>
      <c r="AB2801" s="377"/>
      <c r="AC2801" s="377"/>
      <c r="AD2801" s="377"/>
      <c r="AE2801" s="377"/>
      <c r="AF2801" s="377"/>
      <c r="AG2801" s="377"/>
      <c r="AH2801" s="377"/>
      <c r="AI2801" s="377"/>
      <c r="AJ2801" s="377"/>
      <c r="AK2801" s="377"/>
      <c r="AL2801" s="377"/>
      <c r="AM2801" s="377"/>
      <c r="AN2801" s="377"/>
      <c r="AO2801" s="377"/>
      <c r="AP2801" s="377"/>
      <c r="AQ2801" s="377"/>
      <c r="AR2801" s="377"/>
      <c r="AS2801" s="377"/>
      <c r="AT2801" s="377"/>
      <c r="AU2801" s="377"/>
      <c r="AV2801" s="377"/>
      <c r="AW2801" s="377"/>
      <c r="AX2801" s="377"/>
      <c r="AY2801" s="377"/>
      <c r="AZ2801" s="377"/>
      <c r="BA2801" s="377"/>
      <c r="BB2801" s="377"/>
      <c r="BC2801" s="377"/>
      <c r="BD2801" s="377"/>
      <c r="BE2801" s="377"/>
      <c r="BF2801" s="377"/>
      <c r="BG2801" s="377"/>
      <c r="BH2801" s="377"/>
      <c r="BI2801" s="377"/>
      <c r="BJ2801" s="377"/>
      <c r="BK2801" s="377"/>
      <c r="BL2801" s="377"/>
      <c r="BM2801" s="377"/>
      <c r="BN2801" s="377"/>
      <c r="BO2801" s="377"/>
      <c r="BP2801" s="377"/>
      <c r="BQ2801" s="377"/>
    </row>
    <row r="2802" spans="1:69" s="426" customFormat="1" hidden="1" outlineLevel="1">
      <c r="A2802" s="448"/>
      <c r="B2802" s="392"/>
      <c r="C2802" s="414"/>
      <c r="D2802" s="490"/>
      <c r="E2802" s="424"/>
      <c r="F2802" s="443"/>
      <c r="G2802" s="525"/>
      <c r="H2802" s="401" t="s">
        <v>384</v>
      </c>
      <c r="I2802" s="510">
        <f t="shared" si="7"/>
        <v>27.67</v>
      </c>
      <c r="J2802" s="425" t="s">
        <v>365</v>
      </c>
      <c r="K2802" s="464"/>
      <c r="L2802" s="464"/>
      <c r="M2802" s="423"/>
      <c r="N2802" s="423"/>
      <c r="O2802" s="377"/>
      <c r="P2802" s="377"/>
      <c r="Q2802" s="377"/>
      <c r="R2802" s="377"/>
      <c r="S2802" s="377"/>
      <c r="T2802" s="377"/>
      <c r="U2802" s="377"/>
      <c r="V2802" s="377"/>
      <c r="W2802" s="377"/>
      <c r="X2802" s="377"/>
      <c r="Y2802" s="377"/>
      <c r="Z2802" s="377"/>
      <c r="AA2802" s="377"/>
      <c r="AB2802" s="377"/>
      <c r="AC2802" s="377"/>
      <c r="AD2802" s="377"/>
      <c r="AE2802" s="377"/>
      <c r="AF2802" s="377"/>
      <c r="AG2802" s="377"/>
      <c r="AH2802" s="377"/>
      <c r="AI2802" s="377"/>
      <c r="AJ2802" s="377"/>
      <c r="AK2802" s="377"/>
      <c r="AL2802" s="377"/>
      <c r="AM2802" s="377"/>
      <c r="AN2802" s="377"/>
      <c r="AO2802" s="377"/>
      <c r="AP2802" s="377"/>
      <c r="AQ2802" s="377"/>
      <c r="AR2802" s="377"/>
      <c r="AS2802" s="377"/>
      <c r="AT2802" s="377"/>
      <c r="AU2802" s="377"/>
      <c r="AV2802" s="377"/>
      <c r="AW2802" s="377"/>
      <c r="AX2802" s="377"/>
      <c r="AY2802" s="377"/>
      <c r="AZ2802" s="377"/>
      <c r="BA2802" s="377"/>
      <c r="BB2802" s="377"/>
      <c r="BC2802" s="377"/>
      <c r="BD2802" s="377"/>
      <c r="BE2802" s="377"/>
      <c r="BF2802" s="377"/>
      <c r="BG2802" s="377"/>
      <c r="BH2802" s="377"/>
      <c r="BI2802" s="377"/>
      <c r="BJ2802" s="377"/>
      <c r="BK2802" s="377"/>
      <c r="BL2802" s="377"/>
      <c r="BM2802" s="377"/>
      <c r="BN2802" s="377"/>
      <c r="BO2802" s="377"/>
      <c r="BP2802" s="377"/>
      <c r="BQ2802" s="377"/>
    </row>
    <row r="2803" spans="1:69" s="426" customFormat="1" ht="40.5" hidden="1" outlineLevel="1">
      <c r="A2803" s="448"/>
      <c r="B2803" s="392"/>
      <c r="C2803" s="414"/>
      <c r="D2803" s="490"/>
      <c r="E2803" s="424"/>
      <c r="F2803" s="443"/>
      <c r="G2803" s="525"/>
      <c r="H2803" s="401" t="s">
        <v>387</v>
      </c>
      <c r="I2803" s="510">
        <f t="shared" si="7"/>
        <v>735.44200000000001</v>
      </c>
      <c r="J2803" s="425" t="s">
        <v>365</v>
      </c>
      <c r="K2803" s="464"/>
      <c r="L2803" s="464"/>
      <c r="M2803" s="423"/>
      <c r="N2803" s="423"/>
      <c r="O2803" s="377"/>
      <c r="P2803" s="377"/>
      <c r="Q2803" s="377"/>
      <c r="R2803" s="377"/>
      <c r="S2803" s="377"/>
      <c r="T2803" s="377"/>
      <c r="U2803" s="377"/>
      <c r="V2803" s="377"/>
      <c r="W2803" s="377"/>
      <c r="X2803" s="377"/>
      <c r="Y2803" s="377"/>
      <c r="Z2803" s="377"/>
      <c r="AA2803" s="377"/>
      <c r="AB2803" s="377"/>
      <c r="AC2803" s="377"/>
      <c r="AD2803" s="377"/>
      <c r="AE2803" s="377"/>
      <c r="AF2803" s="377"/>
      <c r="AG2803" s="377"/>
      <c r="AH2803" s="377"/>
      <c r="AI2803" s="377"/>
      <c r="AJ2803" s="377"/>
      <c r="AK2803" s="377"/>
      <c r="AL2803" s="377"/>
      <c r="AM2803" s="377"/>
      <c r="AN2803" s="377"/>
      <c r="AO2803" s="377"/>
      <c r="AP2803" s="377"/>
      <c r="AQ2803" s="377"/>
      <c r="AR2803" s="377"/>
      <c r="AS2803" s="377"/>
      <c r="AT2803" s="377"/>
      <c r="AU2803" s="377"/>
      <c r="AV2803" s="377"/>
      <c r="AW2803" s="377"/>
      <c r="AX2803" s="377"/>
      <c r="AY2803" s="377"/>
      <c r="AZ2803" s="377"/>
      <c r="BA2803" s="377"/>
      <c r="BB2803" s="377"/>
      <c r="BC2803" s="377"/>
      <c r="BD2803" s="377"/>
      <c r="BE2803" s="377"/>
      <c r="BF2803" s="377"/>
      <c r="BG2803" s="377"/>
      <c r="BH2803" s="377"/>
      <c r="BI2803" s="377"/>
      <c r="BJ2803" s="377"/>
      <c r="BK2803" s="377"/>
      <c r="BL2803" s="377"/>
      <c r="BM2803" s="377"/>
      <c r="BN2803" s="377"/>
      <c r="BO2803" s="377"/>
      <c r="BP2803" s="377"/>
      <c r="BQ2803" s="377"/>
    </row>
    <row r="2804" spans="1:69" s="426" customFormat="1" hidden="1" outlineLevel="1">
      <c r="A2804" s="448"/>
      <c r="B2804" s="392"/>
      <c r="C2804" s="414"/>
      <c r="D2804" s="490"/>
      <c r="E2804" s="424"/>
      <c r="F2804" s="443"/>
      <c r="G2804" s="525"/>
      <c r="H2804" s="401" t="s">
        <v>388</v>
      </c>
      <c r="I2804" s="510">
        <f t="shared" si="7"/>
        <v>0</v>
      </c>
      <c r="J2804" s="425" t="s">
        <v>365</v>
      </c>
      <c r="K2804" s="464"/>
      <c r="L2804" s="464"/>
      <c r="M2804" s="423"/>
      <c r="N2804" s="423"/>
      <c r="O2804" s="377"/>
      <c r="P2804" s="377"/>
      <c r="Q2804" s="377"/>
      <c r="R2804" s="377"/>
      <c r="S2804" s="377"/>
      <c r="T2804" s="377"/>
      <c r="U2804" s="377"/>
      <c r="V2804" s="377"/>
      <c r="W2804" s="377"/>
      <c r="X2804" s="377"/>
      <c r="Y2804" s="377"/>
      <c r="Z2804" s="377"/>
      <c r="AA2804" s="377"/>
      <c r="AB2804" s="377"/>
      <c r="AC2804" s="377"/>
      <c r="AD2804" s="377"/>
      <c r="AE2804" s="377"/>
      <c r="AF2804" s="377"/>
      <c r="AG2804" s="377"/>
      <c r="AH2804" s="377"/>
      <c r="AI2804" s="377"/>
      <c r="AJ2804" s="377"/>
      <c r="AK2804" s="377"/>
      <c r="AL2804" s="377"/>
      <c r="AM2804" s="377"/>
      <c r="AN2804" s="377"/>
      <c r="AO2804" s="377"/>
      <c r="AP2804" s="377"/>
      <c r="AQ2804" s="377"/>
      <c r="AR2804" s="377"/>
      <c r="AS2804" s="377"/>
      <c r="AT2804" s="377"/>
      <c r="AU2804" s="377"/>
      <c r="AV2804" s="377"/>
      <c r="AW2804" s="377"/>
      <c r="AX2804" s="377"/>
      <c r="AY2804" s="377"/>
      <c r="AZ2804" s="377"/>
      <c r="BA2804" s="377"/>
      <c r="BB2804" s="377"/>
      <c r="BC2804" s="377"/>
      <c r="BD2804" s="377"/>
      <c r="BE2804" s="377"/>
      <c r="BF2804" s="377"/>
      <c r="BG2804" s="377"/>
      <c r="BH2804" s="377"/>
      <c r="BI2804" s="377"/>
      <c r="BJ2804" s="377"/>
      <c r="BK2804" s="377"/>
      <c r="BL2804" s="377"/>
      <c r="BM2804" s="377"/>
      <c r="BN2804" s="377"/>
      <c r="BO2804" s="377"/>
      <c r="BP2804" s="377"/>
      <c r="BQ2804" s="377"/>
    </row>
    <row r="2805" spans="1:69" s="426" customFormat="1" ht="40.5" hidden="1" outlineLevel="1">
      <c r="A2805" s="448"/>
      <c r="B2805" s="392"/>
      <c r="C2805" s="414"/>
      <c r="D2805" s="490"/>
      <c r="E2805" s="424"/>
      <c r="F2805" s="443"/>
      <c r="G2805" s="525"/>
      <c r="H2805" s="401" t="s">
        <v>389</v>
      </c>
      <c r="I2805" s="510">
        <f t="shared" si="7"/>
        <v>0</v>
      </c>
      <c r="J2805" s="425" t="s">
        <v>365</v>
      </c>
      <c r="K2805" s="464"/>
      <c r="L2805" s="464"/>
      <c r="M2805" s="423"/>
      <c r="N2805" s="423"/>
      <c r="O2805" s="377"/>
      <c r="P2805" s="377"/>
      <c r="Q2805" s="377"/>
      <c r="R2805" s="377"/>
      <c r="S2805" s="377"/>
      <c r="T2805" s="377"/>
      <c r="U2805" s="377"/>
      <c r="V2805" s="377"/>
      <c r="W2805" s="377"/>
      <c r="X2805" s="377"/>
      <c r="Y2805" s="377"/>
      <c r="Z2805" s="377"/>
      <c r="AA2805" s="377"/>
      <c r="AB2805" s="377"/>
      <c r="AC2805" s="377"/>
      <c r="AD2805" s="377"/>
      <c r="AE2805" s="377"/>
      <c r="AF2805" s="377"/>
      <c r="AG2805" s="377"/>
      <c r="AH2805" s="377"/>
      <c r="AI2805" s="377"/>
      <c r="AJ2805" s="377"/>
      <c r="AK2805" s="377"/>
      <c r="AL2805" s="377"/>
      <c r="AM2805" s="377"/>
      <c r="AN2805" s="377"/>
      <c r="AO2805" s="377"/>
      <c r="AP2805" s="377"/>
      <c r="AQ2805" s="377"/>
      <c r="AR2805" s="377"/>
      <c r="AS2805" s="377"/>
      <c r="AT2805" s="377"/>
      <c r="AU2805" s="377"/>
      <c r="AV2805" s="377"/>
      <c r="AW2805" s="377"/>
      <c r="AX2805" s="377"/>
      <c r="AY2805" s="377"/>
      <c r="AZ2805" s="377"/>
      <c r="BA2805" s="377"/>
      <c r="BB2805" s="377"/>
      <c r="BC2805" s="377"/>
      <c r="BD2805" s="377"/>
      <c r="BE2805" s="377"/>
      <c r="BF2805" s="377"/>
      <c r="BG2805" s="377"/>
      <c r="BH2805" s="377"/>
      <c r="BI2805" s="377"/>
      <c r="BJ2805" s="377"/>
      <c r="BK2805" s="377"/>
      <c r="BL2805" s="377"/>
      <c r="BM2805" s="377"/>
      <c r="BN2805" s="377"/>
      <c r="BO2805" s="377"/>
      <c r="BP2805" s="377"/>
      <c r="BQ2805" s="377"/>
    </row>
    <row r="2806" spans="1:69" s="426" customFormat="1" hidden="1" outlineLevel="1">
      <c r="A2806" s="448"/>
      <c r="B2806" s="392"/>
      <c r="C2806" s="414"/>
      <c r="D2806" s="490"/>
      <c r="E2806" s="424"/>
      <c r="F2806" s="443"/>
      <c r="G2806" s="525"/>
      <c r="H2806" s="401" t="s">
        <v>390</v>
      </c>
      <c r="I2806" s="510">
        <f t="shared" si="7"/>
        <v>0</v>
      </c>
      <c r="J2806" s="425" t="s">
        <v>365</v>
      </c>
      <c r="K2806" s="464"/>
      <c r="L2806" s="464"/>
      <c r="M2806" s="423"/>
      <c r="N2806" s="423"/>
      <c r="O2806" s="377"/>
      <c r="P2806" s="377"/>
      <c r="Q2806" s="377"/>
      <c r="R2806" s="377"/>
      <c r="S2806" s="377"/>
      <c r="T2806" s="377"/>
      <c r="U2806" s="377"/>
      <c r="V2806" s="377"/>
      <c r="W2806" s="377"/>
      <c r="X2806" s="377"/>
      <c r="Y2806" s="377"/>
      <c r="Z2806" s="377"/>
      <c r="AA2806" s="377"/>
      <c r="AB2806" s="377"/>
      <c r="AC2806" s="377"/>
      <c r="AD2806" s="377"/>
      <c r="AE2806" s="377"/>
      <c r="AF2806" s="377"/>
      <c r="AG2806" s="377"/>
      <c r="AH2806" s="377"/>
      <c r="AI2806" s="377"/>
      <c r="AJ2806" s="377"/>
      <c r="AK2806" s="377"/>
      <c r="AL2806" s="377"/>
      <c r="AM2806" s="377"/>
      <c r="AN2806" s="377"/>
      <c r="AO2806" s="377"/>
      <c r="AP2806" s="377"/>
      <c r="AQ2806" s="377"/>
      <c r="AR2806" s="377"/>
      <c r="AS2806" s="377"/>
      <c r="AT2806" s="377"/>
      <c r="AU2806" s="377"/>
      <c r="AV2806" s="377"/>
      <c r="AW2806" s="377"/>
      <c r="AX2806" s="377"/>
      <c r="AY2806" s="377"/>
      <c r="AZ2806" s="377"/>
      <c r="BA2806" s="377"/>
      <c r="BB2806" s="377"/>
      <c r="BC2806" s="377"/>
      <c r="BD2806" s="377"/>
      <c r="BE2806" s="377"/>
      <c r="BF2806" s="377"/>
      <c r="BG2806" s="377"/>
      <c r="BH2806" s="377"/>
      <c r="BI2806" s="377"/>
      <c r="BJ2806" s="377"/>
      <c r="BK2806" s="377"/>
      <c r="BL2806" s="377"/>
      <c r="BM2806" s="377"/>
      <c r="BN2806" s="377"/>
      <c r="BO2806" s="377"/>
      <c r="BP2806" s="377"/>
      <c r="BQ2806" s="377"/>
    </row>
    <row r="2807" spans="1:69" s="426" customFormat="1" hidden="1" outlineLevel="1">
      <c r="A2807" s="447"/>
      <c r="B2807" s="377"/>
      <c r="C2807" s="421"/>
      <c r="D2807" s="523"/>
      <c r="E2807" s="427"/>
      <c r="F2807" s="444"/>
      <c r="G2807" s="526"/>
      <c r="H2807" s="381"/>
      <c r="I2807" s="519"/>
      <c r="J2807" s="428"/>
      <c r="K2807" s="465"/>
      <c r="L2807" s="465"/>
      <c r="O2807" s="377"/>
      <c r="P2807" s="377"/>
      <c r="Q2807" s="377"/>
      <c r="R2807" s="377"/>
      <c r="S2807" s="377"/>
      <c r="T2807" s="377"/>
      <c r="U2807" s="377"/>
      <c r="V2807" s="377"/>
      <c r="W2807" s="377"/>
      <c r="X2807" s="377"/>
      <c r="Y2807" s="377"/>
      <c r="Z2807" s="377"/>
      <c r="AA2807" s="377"/>
      <c r="AB2807" s="377"/>
      <c r="AC2807" s="377"/>
      <c r="AD2807" s="377"/>
      <c r="AE2807" s="377"/>
      <c r="AF2807" s="377"/>
      <c r="AG2807" s="377"/>
      <c r="AH2807" s="377"/>
      <c r="AI2807" s="377"/>
      <c r="AJ2807" s="377"/>
      <c r="AK2807" s="377"/>
      <c r="AL2807" s="377"/>
      <c r="AM2807" s="377"/>
      <c r="AN2807" s="377"/>
      <c r="AO2807" s="377"/>
      <c r="AP2807" s="377"/>
      <c r="AQ2807" s="377"/>
      <c r="AR2807" s="377"/>
      <c r="AS2807" s="377"/>
      <c r="AT2807" s="377"/>
      <c r="AU2807" s="377"/>
      <c r="AV2807" s="377"/>
      <c r="AW2807" s="377"/>
      <c r="AX2807" s="377"/>
      <c r="AY2807" s="377"/>
      <c r="AZ2807" s="377"/>
      <c r="BA2807" s="377"/>
      <c r="BB2807" s="377"/>
      <c r="BC2807" s="377"/>
      <c r="BD2807" s="377"/>
      <c r="BE2807" s="377"/>
      <c r="BF2807" s="377"/>
      <c r="BG2807" s="377"/>
      <c r="BH2807" s="377"/>
      <c r="BI2807" s="377"/>
      <c r="BJ2807" s="377"/>
      <c r="BK2807" s="377"/>
      <c r="BL2807" s="377"/>
      <c r="BM2807" s="377"/>
      <c r="BN2807" s="377"/>
      <c r="BO2807" s="377"/>
      <c r="BP2807" s="377"/>
      <c r="BQ2807" s="377"/>
    </row>
    <row r="2808" spans="1:69" s="426" customFormat="1" ht="26.25" hidden="1" outlineLevel="1">
      <c r="A2808" s="447"/>
      <c r="B2808" s="377"/>
      <c r="C2808" s="421"/>
      <c r="D2808" s="523"/>
      <c r="E2808" s="427"/>
      <c r="F2808" s="444"/>
      <c r="G2808" s="526"/>
      <c r="H2808" s="488" t="s">
        <v>369</v>
      </c>
      <c r="I2808" s="519"/>
      <c r="J2808" s="428"/>
      <c r="K2808" s="465"/>
      <c r="L2808" s="465"/>
      <c r="O2808" s="377"/>
      <c r="P2808" s="377"/>
      <c r="Q2808" s="377"/>
      <c r="R2808" s="377"/>
      <c r="S2808" s="377"/>
      <c r="T2808" s="377"/>
      <c r="U2808" s="377"/>
      <c r="V2808" s="377"/>
      <c r="W2808" s="377"/>
      <c r="X2808" s="377"/>
      <c r="Y2808" s="377"/>
      <c r="Z2808" s="377"/>
      <c r="AA2808" s="377"/>
      <c r="AB2808" s="377"/>
      <c r="AC2808" s="377"/>
      <c r="AD2808" s="377"/>
      <c r="AE2808" s="377"/>
      <c r="AF2808" s="377"/>
      <c r="AG2808" s="377"/>
      <c r="AH2808" s="377"/>
      <c r="AI2808" s="377"/>
      <c r="AJ2808" s="377"/>
      <c r="AK2808" s="377"/>
      <c r="AL2808" s="377"/>
      <c r="AM2808" s="377"/>
      <c r="AN2808" s="377"/>
      <c r="AO2808" s="377"/>
      <c r="AP2808" s="377"/>
      <c r="AQ2808" s="377"/>
      <c r="AR2808" s="377"/>
      <c r="AS2808" s="377"/>
      <c r="AT2808" s="377"/>
      <c r="AU2808" s="377"/>
      <c r="AV2808" s="377"/>
      <c r="AW2808" s="377"/>
      <c r="AX2808" s="377"/>
      <c r="AY2808" s="377"/>
      <c r="AZ2808" s="377"/>
      <c r="BA2808" s="377"/>
      <c r="BB2808" s="377"/>
      <c r="BC2808" s="377"/>
      <c r="BD2808" s="377"/>
      <c r="BE2808" s="377"/>
      <c r="BF2808" s="377"/>
      <c r="BG2808" s="377"/>
      <c r="BH2808" s="377"/>
      <c r="BI2808" s="377"/>
      <c r="BJ2808" s="377"/>
      <c r="BK2808" s="377"/>
      <c r="BL2808" s="377"/>
      <c r="BM2808" s="377"/>
      <c r="BN2808" s="377"/>
      <c r="BO2808" s="377"/>
      <c r="BP2808" s="377"/>
      <c r="BQ2808" s="377"/>
    </row>
    <row r="2809" spans="1:69" s="426" customFormat="1" hidden="1" outlineLevel="1">
      <c r="A2809" s="447"/>
      <c r="B2809" s="377"/>
      <c r="C2809" s="421"/>
      <c r="D2809" s="523"/>
      <c r="E2809" s="427"/>
      <c r="F2809" s="444"/>
      <c r="G2809" s="526"/>
      <c r="H2809" s="381"/>
      <c r="I2809" s="519"/>
      <c r="J2809" s="428"/>
      <c r="K2809" s="465"/>
      <c r="L2809" s="465"/>
      <c r="O2809" s="377"/>
      <c r="P2809" s="377"/>
      <c r="Q2809" s="377"/>
      <c r="R2809" s="377"/>
      <c r="S2809" s="377"/>
      <c r="T2809" s="377"/>
      <c r="U2809" s="377"/>
      <c r="V2809" s="377"/>
      <c r="W2809" s="377"/>
      <c r="X2809" s="377"/>
      <c r="Y2809" s="377"/>
      <c r="Z2809" s="377"/>
      <c r="AA2809" s="377"/>
      <c r="AB2809" s="377"/>
      <c r="AC2809" s="377"/>
      <c r="AD2809" s="377"/>
      <c r="AE2809" s="377"/>
      <c r="AF2809" s="377"/>
      <c r="AG2809" s="377"/>
      <c r="AH2809" s="377"/>
      <c r="AI2809" s="377"/>
      <c r="AJ2809" s="377"/>
      <c r="AK2809" s="377"/>
      <c r="AL2809" s="377"/>
      <c r="AM2809" s="377"/>
      <c r="AN2809" s="377"/>
      <c r="AO2809" s="377"/>
      <c r="AP2809" s="377"/>
      <c r="AQ2809" s="377"/>
      <c r="AR2809" s="377"/>
      <c r="AS2809" s="377"/>
      <c r="AT2809" s="377"/>
      <c r="AU2809" s="377"/>
      <c r="AV2809" s="377"/>
      <c r="AW2809" s="377"/>
      <c r="AX2809" s="377"/>
      <c r="AY2809" s="377"/>
      <c r="AZ2809" s="377"/>
      <c r="BA2809" s="377"/>
      <c r="BB2809" s="377"/>
      <c r="BC2809" s="377"/>
      <c r="BD2809" s="377"/>
      <c r="BE2809" s="377"/>
      <c r="BF2809" s="377"/>
      <c r="BG2809" s="377"/>
      <c r="BH2809" s="377"/>
      <c r="BI2809" s="377"/>
      <c r="BJ2809" s="377"/>
      <c r="BK2809" s="377"/>
      <c r="BL2809" s="377"/>
      <c r="BM2809" s="377"/>
      <c r="BN2809" s="377"/>
      <c r="BO2809" s="377"/>
      <c r="BP2809" s="377"/>
      <c r="BQ2809" s="377"/>
    </row>
    <row r="2810" spans="1:69" s="426" customFormat="1" hidden="1" outlineLevel="1">
      <c r="A2810" s="448" t="s">
        <v>326</v>
      </c>
      <c r="B2810" s="392"/>
      <c r="C2810" s="414"/>
      <c r="D2810" s="490"/>
      <c r="E2810" s="424"/>
      <c r="F2810" s="443"/>
      <c r="G2810" s="525"/>
      <c r="H2810" s="385" t="s">
        <v>353</v>
      </c>
      <c r="I2810" s="510">
        <v>0</v>
      </c>
      <c r="J2810" s="425" t="s">
        <v>367</v>
      </c>
      <c r="K2810" s="464"/>
      <c r="L2810" s="464"/>
      <c r="M2810" s="423"/>
      <c r="N2810" s="423"/>
      <c r="O2810" s="377"/>
      <c r="P2810" s="377"/>
      <c r="Q2810" s="377"/>
      <c r="R2810" s="377"/>
      <c r="S2810" s="377"/>
      <c r="T2810" s="377"/>
      <c r="U2810" s="377"/>
      <c r="V2810" s="377"/>
      <c r="W2810" s="377"/>
      <c r="X2810" s="377"/>
      <c r="Y2810" s="377"/>
      <c r="Z2810" s="377"/>
      <c r="AA2810" s="377"/>
      <c r="AB2810" s="377"/>
      <c r="AC2810" s="377"/>
      <c r="AD2810" s="377"/>
      <c r="AE2810" s="377"/>
      <c r="AF2810" s="377"/>
      <c r="AG2810" s="377"/>
      <c r="AH2810" s="377"/>
      <c r="AI2810" s="377"/>
      <c r="AJ2810" s="377"/>
      <c r="AK2810" s="377"/>
      <c r="AL2810" s="377"/>
      <c r="AM2810" s="377"/>
      <c r="AN2810" s="377"/>
      <c r="AO2810" s="377"/>
      <c r="AP2810" s="377"/>
      <c r="AQ2810" s="377"/>
      <c r="AR2810" s="377"/>
      <c r="AS2810" s="377"/>
      <c r="AT2810" s="377"/>
      <c r="AU2810" s="377"/>
      <c r="AV2810" s="377"/>
      <c r="AW2810" s="377"/>
      <c r="AX2810" s="377"/>
      <c r="AY2810" s="377"/>
      <c r="AZ2810" s="377"/>
      <c r="BA2810" s="377"/>
      <c r="BB2810" s="377"/>
      <c r="BC2810" s="377"/>
      <c r="BD2810" s="377"/>
      <c r="BE2810" s="377"/>
      <c r="BF2810" s="377"/>
      <c r="BG2810" s="377"/>
      <c r="BH2810" s="377"/>
      <c r="BI2810" s="377"/>
      <c r="BJ2810" s="377"/>
      <c r="BK2810" s="377"/>
      <c r="BL2810" s="377"/>
      <c r="BM2810" s="377"/>
      <c r="BN2810" s="377"/>
      <c r="BO2810" s="377"/>
      <c r="BP2810" s="377"/>
      <c r="BQ2810" s="377"/>
    </row>
    <row r="2811" spans="1:69" s="426" customFormat="1" hidden="1" outlineLevel="1">
      <c r="A2811" s="448" t="s">
        <v>325</v>
      </c>
      <c r="B2811" s="392"/>
      <c r="C2811" s="414"/>
      <c r="D2811" s="490"/>
      <c r="E2811" s="424"/>
      <c r="F2811" s="443"/>
      <c r="G2811" s="525"/>
      <c r="H2811" s="385" t="s">
        <v>354</v>
      </c>
      <c r="I2811" s="510">
        <v>0</v>
      </c>
      <c r="J2811" s="425" t="s">
        <v>367</v>
      </c>
      <c r="K2811" s="464"/>
      <c r="L2811" s="464"/>
      <c r="M2811" s="423"/>
      <c r="N2811" s="423"/>
      <c r="O2811" s="377"/>
      <c r="P2811" s="377"/>
      <c r="Q2811" s="377"/>
      <c r="R2811" s="377"/>
      <c r="S2811" s="377"/>
      <c r="T2811" s="377"/>
      <c r="U2811" s="377"/>
      <c r="V2811" s="377"/>
      <c r="W2811" s="377"/>
      <c r="X2811" s="377"/>
      <c r="Y2811" s="377"/>
      <c r="Z2811" s="377"/>
      <c r="AA2811" s="377"/>
      <c r="AB2811" s="377"/>
      <c r="AC2811" s="377"/>
      <c r="AD2811" s="377"/>
      <c r="AE2811" s="377"/>
      <c r="AF2811" s="377"/>
      <c r="AG2811" s="377"/>
      <c r="AH2811" s="377"/>
      <c r="AI2811" s="377"/>
      <c r="AJ2811" s="377"/>
      <c r="AK2811" s="377"/>
      <c r="AL2811" s="377"/>
      <c r="AM2811" s="377"/>
      <c r="AN2811" s="377"/>
      <c r="AO2811" s="377"/>
      <c r="AP2811" s="377"/>
      <c r="AQ2811" s="377"/>
      <c r="AR2811" s="377"/>
      <c r="AS2811" s="377"/>
      <c r="AT2811" s="377"/>
      <c r="AU2811" s="377"/>
      <c r="AV2811" s="377"/>
      <c r="AW2811" s="377"/>
      <c r="AX2811" s="377"/>
      <c r="AY2811" s="377"/>
      <c r="AZ2811" s="377"/>
      <c r="BA2811" s="377"/>
      <c r="BB2811" s="377"/>
      <c r="BC2811" s="377"/>
      <c r="BD2811" s="377"/>
      <c r="BE2811" s="377"/>
      <c r="BF2811" s="377"/>
      <c r="BG2811" s="377"/>
      <c r="BH2811" s="377"/>
      <c r="BI2811" s="377"/>
      <c r="BJ2811" s="377"/>
      <c r="BK2811" s="377"/>
      <c r="BL2811" s="377"/>
      <c r="BM2811" s="377"/>
      <c r="BN2811" s="377"/>
      <c r="BO2811" s="377"/>
      <c r="BP2811" s="377"/>
      <c r="BQ2811" s="377"/>
    </row>
    <row r="2812" spans="1:69" s="426" customFormat="1" hidden="1" outlineLevel="1">
      <c r="A2812" s="448" t="s">
        <v>327</v>
      </c>
      <c r="B2812" s="392"/>
      <c r="C2812" s="414"/>
      <c r="D2812" s="490"/>
      <c r="E2812" s="424"/>
      <c r="F2812" s="443"/>
      <c r="G2812" s="525"/>
      <c r="H2812" s="385" t="s">
        <v>352</v>
      </c>
      <c r="I2812" s="510">
        <f>I2760+I1273</f>
        <v>0</v>
      </c>
      <c r="J2812" s="425" t="s">
        <v>367</v>
      </c>
      <c r="K2812" s="464"/>
      <c r="L2812" s="464"/>
      <c r="M2812" s="423"/>
      <c r="N2812" s="423"/>
      <c r="O2812" s="377"/>
      <c r="P2812" s="377"/>
      <c r="Q2812" s="377"/>
      <c r="R2812" s="377"/>
      <c r="S2812" s="377"/>
      <c r="T2812" s="377"/>
      <c r="U2812" s="377"/>
      <c r="V2812" s="377"/>
      <c r="W2812" s="377"/>
      <c r="X2812" s="377"/>
      <c r="Y2812" s="377"/>
      <c r="Z2812" s="377"/>
      <c r="AA2812" s="377"/>
      <c r="AB2812" s="377"/>
      <c r="AC2812" s="377"/>
      <c r="AD2812" s="377"/>
      <c r="AE2812" s="377"/>
      <c r="AF2812" s="377"/>
      <c r="AG2812" s="377"/>
      <c r="AH2812" s="377"/>
      <c r="AI2812" s="377"/>
      <c r="AJ2812" s="377"/>
      <c r="AK2812" s="377"/>
      <c r="AL2812" s="377"/>
      <c r="AM2812" s="377"/>
      <c r="AN2812" s="377"/>
      <c r="AO2812" s="377"/>
      <c r="AP2812" s="377"/>
      <c r="AQ2812" s="377"/>
      <c r="AR2812" s="377"/>
      <c r="AS2812" s="377"/>
      <c r="AT2812" s="377"/>
      <c r="AU2812" s="377"/>
      <c r="AV2812" s="377"/>
      <c r="AW2812" s="377"/>
      <c r="AX2812" s="377"/>
      <c r="AY2812" s="377"/>
      <c r="AZ2812" s="377"/>
      <c r="BA2812" s="377"/>
      <c r="BB2812" s="377"/>
      <c r="BC2812" s="377"/>
      <c r="BD2812" s="377"/>
      <c r="BE2812" s="377"/>
      <c r="BF2812" s="377"/>
      <c r="BG2812" s="377"/>
      <c r="BH2812" s="377"/>
      <c r="BI2812" s="377"/>
      <c r="BJ2812" s="377"/>
      <c r="BK2812" s="377"/>
      <c r="BL2812" s="377"/>
      <c r="BM2812" s="377"/>
      <c r="BN2812" s="377"/>
      <c r="BO2812" s="377"/>
      <c r="BP2812" s="377"/>
      <c r="BQ2812" s="377"/>
    </row>
    <row r="2813" spans="1:69" s="426" customFormat="1" hidden="1" outlineLevel="1">
      <c r="A2813" s="448" t="s">
        <v>328</v>
      </c>
      <c r="B2813" s="392"/>
      <c r="C2813" s="414"/>
      <c r="D2813" s="490"/>
      <c r="E2813" s="424"/>
      <c r="F2813" s="443"/>
      <c r="G2813" s="525"/>
      <c r="H2813" s="385" t="s">
        <v>357</v>
      </c>
      <c r="I2813" s="510">
        <v>0</v>
      </c>
      <c r="J2813" s="425" t="s">
        <v>367</v>
      </c>
      <c r="K2813" s="464"/>
      <c r="L2813" s="464"/>
      <c r="M2813" s="423"/>
      <c r="N2813" s="423"/>
      <c r="O2813" s="377"/>
      <c r="P2813" s="377"/>
      <c r="Q2813" s="377"/>
      <c r="R2813" s="377"/>
      <c r="S2813" s="377"/>
      <c r="T2813" s="377"/>
      <c r="U2813" s="377"/>
      <c r="V2813" s="377"/>
      <c r="W2813" s="377"/>
      <c r="X2813" s="377"/>
      <c r="Y2813" s="377"/>
      <c r="Z2813" s="377"/>
      <c r="AA2813" s="377"/>
      <c r="AB2813" s="377"/>
      <c r="AC2813" s="377"/>
      <c r="AD2813" s="377"/>
      <c r="AE2813" s="377"/>
      <c r="AF2813" s="377"/>
      <c r="AG2813" s="377"/>
      <c r="AH2813" s="377"/>
      <c r="AI2813" s="377"/>
      <c r="AJ2813" s="377"/>
      <c r="AK2813" s="377"/>
      <c r="AL2813" s="377"/>
      <c r="AM2813" s="377"/>
      <c r="AN2813" s="377"/>
      <c r="AO2813" s="377"/>
      <c r="AP2813" s="377"/>
      <c r="AQ2813" s="377"/>
      <c r="AR2813" s="377"/>
      <c r="AS2813" s="377"/>
      <c r="AT2813" s="377"/>
      <c r="AU2813" s="377"/>
      <c r="AV2813" s="377"/>
      <c r="AW2813" s="377"/>
      <c r="AX2813" s="377"/>
      <c r="AY2813" s="377"/>
      <c r="AZ2813" s="377"/>
      <c r="BA2813" s="377"/>
      <c r="BB2813" s="377"/>
      <c r="BC2813" s="377"/>
      <c r="BD2813" s="377"/>
      <c r="BE2813" s="377"/>
      <c r="BF2813" s="377"/>
      <c r="BG2813" s="377"/>
      <c r="BH2813" s="377"/>
      <c r="BI2813" s="377"/>
      <c r="BJ2813" s="377"/>
      <c r="BK2813" s="377"/>
      <c r="BL2813" s="377"/>
      <c r="BM2813" s="377"/>
      <c r="BN2813" s="377"/>
      <c r="BO2813" s="377"/>
      <c r="BP2813" s="377"/>
      <c r="BQ2813" s="377"/>
    </row>
    <row r="2814" spans="1:69" s="426" customFormat="1" hidden="1" outlineLevel="1">
      <c r="A2814" s="448" t="s">
        <v>329</v>
      </c>
      <c r="B2814" s="392"/>
      <c r="C2814" s="414"/>
      <c r="D2814" s="490"/>
      <c r="E2814" s="424"/>
      <c r="F2814" s="443"/>
      <c r="G2814" s="525"/>
      <c r="H2814" s="385" t="s">
        <v>358</v>
      </c>
      <c r="I2814" s="510">
        <v>0</v>
      </c>
      <c r="J2814" s="425" t="s">
        <v>367</v>
      </c>
      <c r="K2814" s="464"/>
      <c r="L2814" s="464"/>
      <c r="M2814" s="423"/>
      <c r="N2814" s="423"/>
      <c r="O2814" s="377"/>
      <c r="P2814" s="377"/>
      <c r="Q2814" s="377"/>
      <c r="R2814" s="377"/>
      <c r="S2814" s="377"/>
      <c r="T2814" s="377"/>
      <c r="U2814" s="377"/>
      <c r="V2814" s="377"/>
      <c r="W2814" s="377"/>
      <c r="X2814" s="377"/>
      <c r="Y2814" s="377"/>
      <c r="Z2814" s="377"/>
      <c r="AA2814" s="377"/>
      <c r="AB2814" s="377"/>
      <c r="AC2814" s="377"/>
      <c r="AD2814" s="377"/>
      <c r="AE2814" s="377"/>
      <c r="AF2814" s="377"/>
      <c r="AG2814" s="377"/>
      <c r="AH2814" s="377"/>
      <c r="AI2814" s="377"/>
      <c r="AJ2814" s="377"/>
      <c r="AK2814" s="377"/>
      <c r="AL2814" s="377"/>
      <c r="AM2814" s="377"/>
      <c r="AN2814" s="377"/>
      <c r="AO2814" s="377"/>
      <c r="AP2814" s="377"/>
      <c r="AQ2814" s="377"/>
      <c r="AR2814" s="377"/>
      <c r="AS2814" s="377"/>
      <c r="AT2814" s="377"/>
      <c r="AU2814" s="377"/>
      <c r="AV2814" s="377"/>
      <c r="AW2814" s="377"/>
      <c r="AX2814" s="377"/>
      <c r="AY2814" s="377"/>
      <c r="AZ2814" s="377"/>
      <c r="BA2814" s="377"/>
      <c r="BB2814" s="377"/>
      <c r="BC2814" s="377"/>
      <c r="BD2814" s="377"/>
      <c r="BE2814" s="377"/>
      <c r="BF2814" s="377"/>
      <c r="BG2814" s="377"/>
      <c r="BH2814" s="377"/>
      <c r="BI2814" s="377"/>
      <c r="BJ2814" s="377"/>
      <c r="BK2814" s="377"/>
      <c r="BL2814" s="377"/>
      <c r="BM2814" s="377"/>
      <c r="BN2814" s="377"/>
      <c r="BO2814" s="377"/>
      <c r="BP2814" s="377"/>
      <c r="BQ2814" s="377"/>
    </row>
    <row r="2815" spans="1:69" s="426" customFormat="1" hidden="1" outlineLevel="1">
      <c r="A2815" s="448" t="s">
        <v>330</v>
      </c>
      <c r="B2815" s="392"/>
      <c r="C2815" s="414"/>
      <c r="D2815" s="490"/>
      <c r="E2815" s="424"/>
      <c r="F2815" s="443"/>
      <c r="G2815" s="525"/>
      <c r="H2815" s="385" t="s">
        <v>359</v>
      </c>
      <c r="I2815" s="510">
        <v>0</v>
      </c>
      <c r="J2815" s="425" t="s">
        <v>367</v>
      </c>
      <c r="K2815" s="464"/>
      <c r="L2815" s="464"/>
      <c r="M2815" s="423"/>
      <c r="N2815" s="423"/>
      <c r="O2815" s="377"/>
      <c r="P2815" s="377"/>
      <c r="Q2815" s="377"/>
      <c r="R2815" s="377"/>
      <c r="S2815" s="377"/>
      <c r="T2815" s="377"/>
      <c r="U2815" s="377"/>
      <c r="V2815" s="377"/>
      <c r="W2815" s="377"/>
      <c r="X2815" s="377"/>
      <c r="Y2815" s="377"/>
      <c r="Z2815" s="377"/>
      <c r="AA2815" s="377"/>
      <c r="AB2815" s="377"/>
      <c r="AC2815" s="377"/>
      <c r="AD2815" s="377"/>
      <c r="AE2815" s="377"/>
      <c r="AF2815" s="377"/>
      <c r="AG2815" s="377"/>
      <c r="AH2815" s="377"/>
      <c r="AI2815" s="377"/>
      <c r="AJ2815" s="377"/>
      <c r="AK2815" s="377"/>
      <c r="AL2815" s="377"/>
      <c r="AM2815" s="377"/>
      <c r="AN2815" s="377"/>
      <c r="AO2815" s="377"/>
      <c r="AP2815" s="377"/>
      <c r="AQ2815" s="377"/>
      <c r="AR2815" s="377"/>
      <c r="AS2815" s="377"/>
      <c r="AT2815" s="377"/>
      <c r="AU2815" s="377"/>
      <c r="AV2815" s="377"/>
      <c r="AW2815" s="377"/>
      <c r="AX2815" s="377"/>
      <c r="AY2815" s="377"/>
      <c r="AZ2815" s="377"/>
      <c r="BA2815" s="377"/>
      <c r="BB2815" s="377"/>
      <c r="BC2815" s="377"/>
      <c r="BD2815" s="377"/>
      <c r="BE2815" s="377"/>
      <c r="BF2815" s="377"/>
      <c r="BG2815" s="377"/>
      <c r="BH2815" s="377"/>
      <c r="BI2815" s="377"/>
      <c r="BJ2815" s="377"/>
      <c r="BK2815" s="377"/>
      <c r="BL2815" s="377"/>
      <c r="BM2815" s="377"/>
      <c r="BN2815" s="377"/>
      <c r="BO2815" s="377"/>
      <c r="BP2815" s="377"/>
      <c r="BQ2815" s="377"/>
    </row>
    <row r="2816" spans="1:69" s="426" customFormat="1" hidden="1" outlineLevel="1">
      <c r="A2816" s="448" t="s">
        <v>331</v>
      </c>
      <c r="B2816" s="392"/>
      <c r="C2816" s="414"/>
      <c r="D2816" s="490"/>
      <c r="E2816" s="424"/>
      <c r="F2816" s="443"/>
      <c r="G2816" s="525"/>
      <c r="H2816" s="385" t="s">
        <v>347</v>
      </c>
      <c r="I2816" s="510">
        <v>0</v>
      </c>
      <c r="J2816" s="425" t="s">
        <v>367</v>
      </c>
      <c r="K2816" s="464"/>
      <c r="L2816" s="464"/>
      <c r="M2816" s="423"/>
      <c r="N2816" s="423"/>
      <c r="O2816" s="377"/>
      <c r="P2816" s="377"/>
      <c r="Q2816" s="377"/>
      <c r="R2816" s="377"/>
      <c r="S2816" s="377"/>
      <c r="T2816" s="377"/>
      <c r="U2816" s="377"/>
      <c r="V2816" s="377"/>
      <c r="W2816" s="377"/>
      <c r="X2816" s="377"/>
      <c r="Y2816" s="377"/>
      <c r="Z2816" s="377"/>
      <c r="AA2816" s="377"/>
      <c r="AB2816" s="377"/>
      <c r="AC2816" s="377"/>
      <c r="AD2816" s="377"/>
      <c r="AE2816" s="377"/>
      <c r="AF2816" s="377"/>
      <c r="AG2816" s="377"/>
      <c r="AH2816" s="377"/>
      <c r="AI2816" s="377"/>
      <c r="AJ2816" s="377"/>
      <c r="AK2816" s="377"/>
      <c r="AL2816" s="377"/>
      <c r="AM2816" s="377"/>
      <c r="AN2816" s="377"/>
      <c r="AO2816" s="377"/>
      <c r="AP2816" s="377"/>
      <c r="AQ2816" s="377"/>
      <c r="AR2816" s="377"/>
      <c r="AS2816" s="377"/>
      <c r="AT2816" s="377"/>
      <c r="AU2816" s="377"/>
      <c r="AV2816" s="377"/>
      <c r="AW2816" s="377"/>
      <c r="AX2816" s="377"/>
      <c r="AY2816" s="377"/>
      <c r="AZ2816" s="377"/>
      <c r="BA2816" s="377"/>
      <c r="BB2816" s="377"/>
      <c r="BC2816" s="377"/>
      <c r="BD2816" s="377"/>
      <c r="BE2816" s="377"/>
      <c r="BF2816" s="377"/>
      <c r="BG2816" s="377"/>
      <c r="BH2816" s="377"/>
      <c r="BI2816" s="377"/>
      <c r="BJ2816" s="377"/>
      <c r="BK2816" s="377"/>
      <c r="BL2816" s="377"/>
      <c r="BM2816" s="377"/>
      <c r="BN2816" s="377"/>
      <c r="BO2816" s="377"/>
      <c r="BP2816" s="377"/>
      <c r="BQ2816" s="377"/>
    </row>
    <row r="2817" spans="1:69" s="426" customFormat="1" hidden="1" outlineLevel="1">
      <c r="A2817" s="448" t="s">
        <v>334</v>
      </c>
      <c r="B2817" s="392"/>
      <c r="C2817" s="414"/>
      <c r="D2817" s="490"/>
      <c r="E2817" s="424"/>
      <c r="F2817" s="443"/>
      <c r="G2817" s="525"/>
      <c r="H2817" s="385" t="s">
        <v>355</v>
      </c>
      <c r="I2817" s="510">
        <v>0</v>
      </c>
      <c r="J2817" s="425" t="s">
        <v>367</v>
      </c>
      <c r="K2817" s="464"/>
      <c r="L2817" s="464"/>
      <c r="M2817" s="423"/>
      <c r="N2817" s="423"/>
      <c r="O2817" s="377"/>
      <c r="P2817" s="377"/>
      <c r="Q2817" s="377"/>
      <c r="R2817" s="377"/>
      <c r="S2817" s="377"/>
      <c r="T2817" s="377"/>
      <c r="U2817" s="377"/>
      <c r="V2817" s="377"/>
      <c r="W2817" s="377"/>
      <c r="X2817" s="377"/>
      <c r="Y2817" s="377"/>
      <c r="Z2817" s="377"/>
      <c r="AA2817" s="377"/>
      <c r="AB2817" s="377"/>
      <c r="AC2817" s="377"/>
      <c r="AD2817" s="377"/>
      <c r="AE2817" s="377"/>
      <c r="AF2817" s="377"/>
      <c r="AG2817" s="377"/>
      <c r="AH2817" s="377"/>
      <c r="AI2817" s="377"/>
      <c r="AJ2817" s="377"/>
      <c r="AK2817" s="377"/>
      <c r="AL2817" s="377"/>
      <c r="AM2817" s="377"/>
      <c r="AN2817" s="377"/>
      <c r="AO2817" s="377"/>
      <c r="AP2817" s="377"/>
      <c r="AQ2817" s="377"/>
      <c r="AR2817" s="377"/>
      <c r="AS2817" s="377"/>
      <c r="AT2817" s="377"/>
      <c r="AU2817" s="377"/>
      <c r="AV2817" s="377"/>
      <c r="AW2817" s="377"/>
      <c r="AX2817" s="377"/>
      <c r="AY2817" s="377"/>
      <c r="AZ2817" s="377"/>
      <c r="BA2817" s="377"/>
      <c r="BB2817" s="377"/>
      <c r="BC2817" s="377"/>
      <c r="BD2817" s="377"/>
      <c r="BE2817" s="377"/>
      <c r="BF2817" s="377"/>
      <c r="BG2817" s="377"/>
      <c r="BH2817" s="377"/>
      <c r="BI2817" s="377"/>
      <c r="BJ2817" s="377"/>
      <c r="BK2817" s="377"/>
      <c r="BL2817" s="377"/>
      <c r="BM2817" s="377"/>
      <c r="BN2817" s="377"/>
      <c r="BO2817" s="377"/>
      <c r="BP2817" s="377"/>
      <c r="BQ2817" s="377"/>
    </row>
    <row r="2818" spans="1:69" s="426" customFormat="1" hidden="1" outlineLevel="1">
      <c r="A2818" s="448" t="s">
        <v>337</v>
      </c>
      <c r="B2818" s="392"/>
      <c r="C2818" s="414"/>
      <c r="D2818" s="490"/>
      <c r="E2818" s="424"/>
      <c r="F2818" s="443"/>
      <c r="G2818" s="525"/>
      <c r="H2818" s="385" t="s">
        <v>356</v>
      </c>
      <c r="I2818" s="510">
        <v>0</v>
      </c>
      <c r="J2818" s="425" t="s">
        <v>367</v>
      </c>
      <c r="K2818" s="464"/>
      <c r="L2818" s="464"/>
      <c r="M2818" s="423"/>
      <c r="N2818" s="423"/>
      <c r="O2818" s="377"/>
      <c r="P2818" s="377"/>
      <c r="Q2818" s="377"/>
      <c r="R2818" s="377"/>
      <c r="S2818" s="377"/>
      <c r="T2818" s="377"/>
      <c r="U2818" s="377"/>
      <c r="V2818" s="377"/>
      <c r="W2818" s="377"/>
      <c r="X2818" s="377"/>
      <c r="Y2818" s="377"/>
      <c r="Z2818" s="377"/>
      <c r="AA2818" s="377"/>
      <c r="AB2818" s="377"/>
      <c r="AC2818" s="377"/>
      <c r="AD2818" s="377"/>
      <c r="AE2818" s="377"/>
      <c r="AF2818" s="377"/>
      <c r="AG2818" s="377"/>
      <c r="AH2818" s="377"/>
      <c r="AI2818" s="377"/>
      <c r="AJ2818" s="377"/>
      <c r="AK2818" s="377"/>
      <c r="AL2818" s="377"/>
      <c r="AM2818" s="377"/>
      <c r="AN2818" s="377"/>
      <c r="AO2818" s="377"/>
      <c r="AP2818" s="377"/>
      <c r="AQ2818" s="377"/>
      <c r="AR2818" s="377"/>
      <c r="AS2818" s="377"/>
      <c r="AT2818" s="377"/>
      <c r="AU2818" s="377"/>
      <c r="AV2818" s="377"/>
      <c r="AW2818" s="377"/>
      <c r="AX2818" s="377"/>
      <c r="AY2818" s="377"/>
      <c r="AZ2818" s="377"/>
      <c r="BA2818" s="377"/>
      <c r="BB2818" s="377"/>
      <c r="BC2818" s="377"/>
      <c r="BD2818" s="377"/>
      <c r="BE2818" s="377"/>
      <c r="BF2818" s="377"/>
      <c r="BG2818" s="377"/>
      <c r="BH2818" s="377"/>
      <c r="BI2818" s="377"/>
      <c r="BJ2818" s="377"/>
      <c r="BK2818" s="377"/>
      <c r="BL2818" s="377"/>
      <c r="BM2818" s="377"/>
      <c r="BN2818" s="377"/>
      <c r="BO2818" s="377"/>
      <c r="BP2818" s="377"/>
      <c r="BQ2818" s="377"/>
    </row>
    <row r="2819" spans="1:69" s="426" customFormat="1" hidden="1" outlineLevel="1">
      <c r="A2819" s="447"/>
      <c r="B2819" s="377"/>
      <c r="C2819" s="421"/>
      <c r="D2819" s="523"/>
      <c r="E2819" s="427"/>
      <c r="F2819" s="444"/>
      <c r="G2819" s="526"/>
      <c r="H2819" s="380"/>
      <c r="I2819" s="519"/>
      <c r="J2819" s="428"/>
      <c r="K2819" s="465"/>
      <c r="L2819" s="465"/>
      <c r="O2819" s="377"/>
      <c r="P2819" s="377"/>
      <c r="Q2819" s="377"/>
      <c r="R2819" s="377"/>
      <c r="S2819" s="377"/>
      <c r="T2819" s="377"/>
      <c r="U2819" s="377"/>
      <c r="V2819" s="377"/>
      <c r="W2819" s="377"/>
      <c r="X2819" s="377"/>
      <c r="Y2819" s="377"/>
      <c r="Z2819" s="377"/>
      <c r="AA2819" s="377"/>
      <c r="AB2819" s="377"/>
      <c r="AC2819" s="377"/>
      <c r="AD2819" s="377"/>
      <c r="AE2819" s="377"/>
      <c r="AF2819" s="377"/>
      <c r="AG2819" s="377"/>
      <c r="AH2819" s="377"/>
      <c r="AI2819" s="377"/>
      <c r="AJ2819" s="377"/>
      <c r="AK2819" s="377"/>
      <c r="AL2819" s="377"/>
      <c r="AM2819" s="377"/>
      <c r="AN2819" s="377"/>
      <c r="AO2819" s="377"/>
      <c r="AP2819" s="377"/>
      <c r="AQ2819" s="377"/>
      <c r="AR2819" s="377"/>
      <c r="AS2819" s="377"/>
      <c r="AT2819" s="377"/>
      <c r="AU2819" s="377"/>
      <c r="AV2819" s="377"/>
      <c r="AW2819" s="377"/>
      <c r="AX2819" s="377"/>
      <c r="AY2819" s="377"/>
      <c r="AZ2819" s="377"/>
      <c r="BA2819" s="377"/>
      <c r="BB2819" s="377"/>
      <c r="BC2819" s="377"/>
      <c r="BD2819" s="377"/>
      <c r="BE2819" s="377"/>
      <c r="BF2819" s="377"/>
      <c r="BG2819" s="377"/>
      <c r="BH2819" s="377"/>
      <c r="BI2819" s="377"/>
      <c r="BJ2819" s="377"/>
      <c r="BK2819" s="377"/>
      <c r="BL2819" s="377"/>
      <c r="BM2819" s="377"/>
      <c r="BN2819" s="377"/>
      <c r="BO2819" s="377"/>
      <c r="BP2819" s="377"/>
      <c r="BQ2819" s="377"/>
    </row>
    <row r="2820" spans="1:69" s="426" customFormat="1" ht="26.25" hidden="1" outlineLevel="1">
      <c r="A2820" s="447"/>
      <c r="B2820" s="377"/>
      <c r="C2820" s="421"/>
      <c r="D2820" s="523"/>
      <c r="E2820" s="427"/>
      <c r="F2820" s="444"/>
      <c r="G2820" s="526"/>
      <c r="H2820" s="488" t="s">
        <v>370</v>
      </c>
      <c r="I2820" s="519"/>
      <c r="J2820" s="428"/>
      <c r="K2820" s="465"/>
      <c r="L2820" s="465"/>
      <c r="O2820" s="377"/>
      <c r="P2820" s="377"/>
      <c r="Q2820" s="377"/>
      <c r="R2820" s="377"/>
      <c r="S2820" s="377"/>
      <c r="T2820" s="377"/>
      <c r="U2820" s="377"/>
      <c r="V2820" s="377"/>
      <c r="W2820" s="377"/>
      <c r="X2820" s="377"/>
      <c r="Y2820" s="377"/>
      <c r="Z2820" s="377"/>
      <c r="AA2820" s="377"/>
      <c r="AB2820" s="377"/>
      <c r="AC2820" s="377"/>
      <c r="AD2820" s="377"/>
      <c r="AE2820" s="377"/>
      <c r="AF2820" s="377"/>
      <c r="AG2820" s="377"/>
      <c r="AH2820" s="377"/>
      <c r="AI2820" s="377"/>
      <c r="AJ2820" s="377"/>
      <c r="AK2820" s="377"/>
      <c r="AL2820" s="377"/>
      <c r="AM2820" s="377"/>
      <c r="AN2820" s="377"/>
      <c r="AO2820" s="377"/>
      <c r="AP2820" s="377"/>
      <c r="AQ2820" s="377"/>
      <c r="AR2820" s="377"/>
      <c r="AS2820" s="377"/>
      <c r="AT2820" s="377"/>
      <c r="AU2820" s="377"/>
      <c r="AV2820" s="377"/>
      <c r="AW2820" s="377"/>
      <c r="AX2820" s="377"/>
      <c r="AY2820" s="377"/>
      <c r="AZ2820" s="377"/>
      <c r="BA2820" s="377"/>
      <c r="BB2820" s="377"/>
      <c r="BC2820" s="377"/>
      <c r="BD2820" s="377"/>
      <c r="BE2820" s="377"/>
      <c r="BF2820" s="377"/>
      <c r="BG2820" s="377"/>
      <c r="BH2820" s="377"/>
      <c r="BI2820" s="377"/>
      <c r="BJ2820" s="377"/>
      <c r="BK2820" s="377"/>
      <c r="BL2820" s="377"/>
      <c r="BM2820" s="377"/>
      <c r="BN2820" s="377"/>
      <c r="BO2820" s="377"/>
      <c r="BP2820" s="377"/>
      <c r="BQ2820" s="377"/>
    </row>
    <row r="2821" spans="1:69" s="426" customFormat="1" hidden="1" outlineLevel="1">
      <c r="A2821" s="447"/>
      <c r="B2821" s="377"/>
      <c r="C2821" s="421"/>
      <c r="D2821" s="523"/>
      <c r="E2821" s="427"/>
      <c r="F2821" s="444"/>
      <c r="G2821" s="526"/>
      <c r="H2821" s="381"/>
      <c r="I2821" s="519"/>
      <c r="J2821" s="428"/>
      <c r="K2821" s="465"/>
      <c r="L2821" s="465"/>
      <c r="O2821" s="377"/>
      <c r="P2821" s="377"/>
      <c r="Q2821" s="377"/>
      <c r="R2821" s="377"/>
      <c r="S2821" s="377"/>
      <c r="T2821" s="377"/>
      <c r="U2821" s="377"/>
      <c r="V2821" s="377"/>
      <c r="W2821" s="377"/>
      <c r="X2821" s="377"/>
      <c r="Y2821" s="377"/>
      <c r="Z2821" s="377"/>
      <c r="AA2821" s="377"/>
      <c r="AB2821" s="377"/>
      <c r="AC2821" s="377"/>
      <c r="AD2821" s="377"/>
      <c r="AE2821" s="377"/>
      <c r="AF2821" s="377"/>
      <c r="AG2821" s="377"/>
      <c r="AH2821" s="377"/>
      <c r="AI2821" s="377"/>
      <c r="AJ2821" s="377"/>
      <c r="AK2821" s="377"/>
      <c r="AL2821" s="377"/>
      <c r="AM2821" s="377"/>
      <c r="AN2821" s="377"/>
      <c r="AO2821" s="377"/>
      <c r="AP2821" s="377"/>
      <c r="AQ2821" s="377"/>
      <c r="AR2821" s="377"/>
      <c r="AS2821" s="377"/>
      <c r="AT2821" s="377"/>
      <c r="AU2821" s="377"/>
      <c r="AV2821" s="377"/>
      <c r="AW2821" s="377"/>
      <c r="AX2821" s="377"/>
      <c r="AY2821" s="377"/>
      <c r="AZ2821" s="377"/>
      <c r="BA2821" s="377"/>
      <c r="BB2821" s="377"/>
      <c r="BC2821" s="377"/>
      <c r="BD2821" s="377"/>
      <c r="BE2821" s="377"/>
      <c r="BF2821" s="377"/>
      <c r="BG2821" s="377"/>
      <c r="BH2821" s="377"/>
      <c r="BI2821" s="377"/>
      <c r="BJ2821" s="377"/>
      <c r="BK2821" s="377"/>
      <c r="BL2821" s="377"/>
      <c r="BM2821" s="377"/>
      <c r="BN2821" s="377"/>
      <c r="BO2821" s="377"/>
      <c r="BP2821" s="377"/>
      <c r="BQ2821" s="377"/>
    </row>
    <row r="2822" spans="1:69" s="426" customFormat="1" hidden="1" outlineLevel="1">
      <c r="A2822" s="448" t="s">
        <v>326</v>
      </c>
      <c r="B2822" s="392"/>
      <c r="C2822" s="414"/>
      <c r="D2822" s="490"/>
      <c r="E2822" s="424"/>
      <c r="F2822" s="443"/>
      <c r="G2822" s="525"/>
      <c r="H2822" s="385" t="s">
        <v>353</v>
      </c>
      <c r="I2822" s="510">
        <f t="shared" ref="I2822:I2830" si="8">I1307+I2770</f>
        <v>51</v>
      </c>
      <c r="J2822" s="425" t="s">
        <v>366</v>
      </c>
      <c r="K2822" s="464"/>
      <c r="L2822" s="464"/>
      <c r="M2822" s="423"/>
      <c r="N2822" s="423"/>
      <c r="O2822" s="377"/>
      <c r="P2822" s="377"/>
      <c r="Q2822" s="377"/>
      <c r="R2822" s="377"/>
      <c r="S2822" s="377"/>
      <c r="T2822" s="377"/>
      <c r="U2822" s="377"/>
      <c r="V2822" s="377"/>
      <c r="W2822" s="377"/>
      <c r="X2822" s="377"/>
      <c r="Y2822" s="377"/>
      <c r="Z2822" s="377"/>
      <c r="AA2822" s="377"/>
      <c r="AB2822" s="377"/>
      <c r="AC2822" s="377"/>
      <c r="AD2822" s="377"/>
      <c r="AE2822" s="377"/>
      <c r="AF2822" s="377"/>
      <c r="AG2822" s="377"/>
      <c r="AH2822" s="377"/>
      <c r="AI2822" s="377"/>
      <c r="AJ2822" s="377"/>
      <c r="AK2822" s="377"/>
      <c r="AL2822" s="377"/>
      <c r="AM2822" s="377"/>
      <c r="AN2822" s="377"/>
      <c r="AO2822" s="377"/>
      <c r="AP2822" s="377"/>
      <c r="AQ2822" s="377"/>
      <c r="AR2822" s="377"/>
      <c r="AS2822" s="377"/>
      <c r="AT2822" s="377"/>
      <c r="AU2822" s="377"/>
      <c r="AV2822" s="377"/>
      <c r="AW2822" s="377"/>
      <c r="AX2822" s="377"/>
      <c r="AY2822" s="377"/>
      <c r="AZ2822" s="377"/>
      <c r="BA2822" s="377"/>
      <c r="BB2822" s="377"/>
      <c r="BC2822" s="377"/>
      <c r="BD2822" s="377"/>
      <c r="BE2822" s="377"/>
      <c r="BF2822" s="377"/>
      <c r="BG2822" s="377"/>
      <c r="BH2822" s="377"/>
      <c r="BI2822" s="377"/>
      <c r="BJ2822" s="377"/>
      <c r="BK2822" s="377"/>
      <c r="BL2822" s="377"/>
      <c r="BM2822" s="377"/>
      <c r="BN2822" s="377"/>
      <c r="BO2822" s="377"/>
      <c r="BP2822" s="377"/>
      <c r="BQ2822" s="377"/>
    </row>
    <row r="2823" spans="1:69" s="426" customFormat="1" hidden="1" outlineLevel="1">
      <c r="A2823" s="448" t="s">
        <v>325</v>
      </c>
      <c r="B2823" s="392"/>
      <c r="C2823" s="414"/>
      <c r="D2823" s="490"/>
      <c r="E2823" s="424"/>
      <c r="F2823" s="443"/>
      <c r="G2823" s="525"/>
      <c r="H2823" s="385" t="s">
        <v>354</v>
      </c>
      <c r="I2823" s="510">
        <f t="shared" si="8"/>
        <v>51</v>
      </c>
      <c r="J2823" s="425" t="s">
        <v>366</v>
      </c>
      <c r="K2823" s="464"/>
      <c r="L2823" s="464"/>
      <c r="M2823" s="423"/>
      <c r="N2823" s="423"/>
      <c r="O2823" s="377"/>
      <c r="P2823" s="377"/>
      <c r="Q2823" s="377"/>
      <c r="R2823" s="377"/>
      <c r="S2823" s="377"/>
      <c r="T2823" s="377"/>
      <c r="U2823" s="377"/>
      <c r="V2823" s="377"/>
      <c r="W2823" s="377"/>
      <c r="X2823" s="377"/>
      <c r="Y2823" s="377"/>
      <c r="Z2823" s="377"/>
      <c r="AA2823" s="377"/>
      <c r="AB2823" s="377"/>
      <c r="AC2823" s="377"/>
      <c r="AD2823" s="377"/>
      <c r="AE2823" s="377"/>
      <c r="AF2823" s="377"/>
      <c r="AG2823" s="377"/>
      <c r="AH2823" s="377"/>
      <c r="AI2823" s="377"/>
      <c r="AJ2823" s="377"/>
      <c r="AK2823" s="377"/>
      <c r="AL2823" s="377"/>
      <c r="AM2823" s="377"/>
      <c r="AN2823" s="377"/>
      <c r="AO2823" s="377"/>
      <c r="AP2823" s="377"/>
      <c r="AQ2823" s="377"/>
      <c r="AR2823" s="377"/>
      <c r="AS2823" s="377"/>
      <c r="AT2823" s="377"/>
      <c r="AU2823" s="377"/>
      <c r="AV2823" s="377"/>
      <c r="AW2823" s="377"/>
      <c r="AX2823" s="377"/>
      <c r="AY2823" s="377"/>
      <c r="AZ2823" s="377"/>
      <c r="BA2823" s="377"/>
      <c r="BB2823" s="377"/>
      <c r="BC2823" s="377"/>
      <c r="BD2823" s="377"/>
      <c r="BE2823" s="377"/>
      <c r="BF2823" s="377"/>
      <c r="BG2823" s="377"/>
      <c r="BH2823" s="377"/>
      <c r="BI2823" s="377"/>
      <c r="BJ2823" s="377"/>
      <c r="BK2823" s="377"/>
      <c r="BL2823" s="377"/>
      <c r="BM2823" s="377"/>
      <c r="BN2823" s="377"/>
      <c r="BO2823" s="377"/>
      <c r="BP2823" s="377"/>
      <c r="BQ2823" s="377"/>
    </row>
    <row r="2824" spans="1:69" s="426" customFormat="1" hidden="1" outlineLevel="1">
      <c r="A2824" s="448" t="s">
        <v>327</v>
      </c>
      <c r="B2824" s="392"/>
      <c r="C2824" s="414"/>
      <c r="D2824" s="490"/>
      <c r="E2824" s="424"/>
      <c r="F2824" s="443"/>
      <c r="G2824" s="525"/>
      <c r="H2824" s="385" t="s">
        <v>352</v>
      </c>
      <c r="I2824" s="510">
        <f t="shared" si="8"/>
        <v>59</v>
      </c>
      <c r="J2824" s="425" t="s">
        <v>366</v>
      </c>
      <c r="K2824" s="464"/>
      <c r="L2824" s="464"/>
      <c r="M2824" s="423"/>
      <c r="N2824" s="423"/>
      <c r="O2824" s="377"/>
      <c r="P2824" s="377"/>
      <c r="Q2824" s="377"/>
      <c r="R2824" s="377"/>
      <c r="S2824" s="377"/>
      <c r="T2824" s="377"/>
      <c r="U2824" s="377"/>
      <c r="V2824" s="377"/>
      <c r="W2824" s="377"/>
      <c r="X2824" s="377"/>
      <c r="Y2824" s="377"/>
      <c r="Z2824" s="377"/>
      <c r="AA2824" s="377"/>
      <c r="AB2824" s="377"/>
      <c r="AC2824" s="377"/>
      <c r="AD2824" s="377"/>
      <c r="AE2824" s="377"/>
      <c r="AF2824" s="377"/>
      <c r="AG2824" s="377"/>
      <c r="AH2824" s="377"/>
      <c r="AI2824" s="377"/>
      <c r="AJ2824" s="377"/>
      <c r="AK2824" s="377"/>
      <c r="AL2824" s="377"/>
      <c r="AM2824" s="377"/>
      <c r="AN2824" s="377"/>
      <c r="AO2824" s="377"/>
      <c r="AP2824" s="377"/>
      <c r="AQ2824" s="377"/>
      <c r="AR2824" s="377"/>
      <c r="AS2824" s="377"/>
      <c r="AT2824" s="377"/>
      <c r="AU2824" s="377"/>
      <c r="AV2824" s="377"/>
      <c r="AW2824" s="377"/>
      <c r="AX2824" s="377"/>
      <c r="AY2824" s="377"/>
      <c r="AZ2824" s="377"/>
      <c r="BA2824" s="377"/>
      <c r="BB2824" s="377"/>
      <c r="BC2824" s="377"/>
      <c r="BD2824" s="377"/>
      <c r="BE2824" s="377"/>
      <c r="BF2824" s="377"/>
      <c r="BG2824" s="377"/>
      <c r="BH2824" s="377"/>
      <c r="BI2824" s="377"/>
      <c r="BJ2824" s="377"/>
      <c r="BK2824" s="377"/>
      <c r="BL2824" s="377"/>
      <c r="BM2824" s="377"/>
      <c r="BN2824" s="377"/>
      <c r="BO2824" s="377"/>
      <c r="BP2824" s="377"/>
      <c r="BQ2824" s="377"/>
    </row>
    <row r="2825" spans="1:69" s="426" customFormat="1" hidden="1" outlineLevel="1">
      <c r="A2825" s="448" t="s">
        <v>328</v>
      </c>
      <c r="B2825" s="392"/>
      <c r="C2825" s="414"/>
      <c r="D2825" s="490"/>
      <c r="E2825" s="424"/>
      <c r="F2825" s="443"/>
      <c r="G2825" s="525"/>
      <c r="H2825" s="385" t="s">
        <v>357</v>
      </c>
      <c r="I2825" s="510">
        <f t="shared" si="8"/>
        <v>20</v>
      </c>
      <c r="J2825" s="425" t="s">
        <v>366</v>
      </c>
      <c r="K2825" s="464"/>
      <c r="L2825" s="464"/>
      <c r="M2825" s="423"/>
      <c r="N2825" s="423"/>
      <c r="O2825" s="377"/>
      <c r="P2825" s="377"/>
      <c r="Q2825" s="377"/>
      <c r="R2825" s="377"/>
      <c r="S2825" s="377"/>
      <c r="T2825" s="377"/>
      <c r="U2825" s="377"/>
      <c r="V2825" s="377"/>
      <c r="W2825" s="377"/>
      <c r="X2825" s="377"/>
      <c r="Y2825" s="377"/>
      <c r="Z2825" s="377"/>
      <c r="AA2825" s="377"/>
      <c r="AB2825" s="377"/>
      <c r="AC2825" s="377"/>
      <c r="AD2825" s="377"/>
      <c r="AE2825" s="377"/>
      <c r="AF2825" s="377"/>
      <c r="AG2825" s="377"/>
      <c r="AH2825" s="377"/>
      <c r="AI2825" s="377"/>
      <c r="AJ2825" s="377"/>
      <c r="AK2825" s="377"/>
      <c r="AL2825" s="377"/>
      <c r="AM2825" s="377"/>
      <c r="AN2825" s="377"/>
      <c r="AO2825" s="377"/>
      <c r="AP2825" s="377"/>
      <c r="AQ2825" s="377"/>
      <c r="AR2825" s="377"/>
      <c r="AS2825" s="377"/>
      <c r="AT2825" s="377"/>
      <c r="AU2825" s="377"/>
      <c r="AV2825" s="377"/>
      <c r="AW2825" s="377"/>
      <c r="AX2825" s="377"/>
      <c r="AY2825" s="377"/>
      <c r="AZ2825" s="377"/>
      <c r="BA2825" s="377"/>
      <c r="BB2825" s="377"/>
      <c r="BC2825" s="377"/>
      <c r="BD2825" s="377"/>
      <c r="BE2825" s="377"/>
      <c r="BF2825" s="377"/>
      <c r="BG2825" s="377"/>
      <c r="BH2825" s="377"/>
      <c r="BI2825" s="377"/>
      <c r="BJ2825" s="377"/>
      <c r="BK2825" s="377"/>
      <c r="BL2825" s="377"/>
      <c r="BM2825" s="377"/>
      <c r="BN2825" s="377"/>
      <c r="BO2825" s="377"/>
      <c r="BP2825" s="377"/>
      <c r="BQ2825" s="377"/>
    </row>
    <row r="2826" spans="1:69" s="426" customFormat="1" ht="20.25" hidden="1" customHeight="1" outlineLevel="1">
      <c r="A2826" s="448" t="s">
        <v>329</v>
      </c>
      <c r="B2826" s="392"/>
      <c r="C2826" s="414"/>
      <c r="D2826" s="490"/>
      <c r="E2826" s="424"/>
      <c r="F2826" s="443"/>
      <c r="G2826" s="525"/>
      <c r="H2826" s="385" t="s">
        <v>358</v>
      </c>
      <c r="I2826" s="510">
        <f t="shared" si="8"/>
        <v>59</v>
      </c>
      <c r="J2826" s="425" t="s">
        <v>366</v>
      </c>
      <c r="K2826" s="464"/>
      <c r="L2826" s="464"/>
      <c r="M2826" s="423"/>
      <c r="N2826" s="423"/>
      <c r="O2826" s="377"/>
      <c r="P2826" s="377"/>
      <c r="Q2826" s="377"/>
      <c r="R2826" s="377"/>
      <c r="S2826" s="377"/>
      <c r="T2826" s="377"/>
      <c r="U2826" s="377"/>
      <c r="V2826" s="377"/>
      <c r="W2826" s="377"/>
      <c r="X2826" s="377"/>
      <c r="Y2826" s="377"/>
      <c r="Z2826" s="377"/>
      <c r="AA2826" s="377"/>
      <c r="AB2826" s="377"/>
      <c r="AC2826" s="377"/>
      <c r="AD2826" s="377"/>
      <c r="AE2826" s="377"/>
      <c r="AF2826" s="377"/>
      <c r="AG2826" s="377"/>
      <c r="AH2826" s="377"/>
      <c r="AI2826" s="377"/>
      <c r="AJ2826" s="377"/>
      <c r="AK2826" s="377"/>
      <c r="AL2826" s="377"/>
      <c r="AM2826" s="377"/>
      <c r="AN2826" s="377"/>
      <c r="AO2826" s="377"/>
      <c r="AP2826" s="377"/>
      <c r="AQ2826" s="377"/>
      <c r="AR2826" s="377"/>
      <c r="AS2826" s="377"/>
      <c r="AT2826" s="377"/>
      <c r="AU2826" s="377"/>
      <c r="AV2826" s="377"/>
      <c r="AW2826" s="377"/>
      <c r="AX2826" s="377"/>
      <c r="AY2826" s="377"/>
      <c r="AZ2826" s="377"/>
      <c r="BA2826" s="377"/>
      <c r="BB2826" s="377"/>
      <c r="BC2826" s="377"/>
      <c r="BD2826" s="377"/>
      <c r="BE2826" s="377"/>
      <c r="BF2826" s="377"/>
      <c r="BG2826" s="377"/>
      <c r="BH2826" s="377"/>
      <c r="BI2826" s="377"/>
      <c r="BJ2826" s="377"/>
      <c r="BK2826" s="377"/>
      <c r="BL2826" s="377"/>
      <c r="BM2826" s="377"/>
      <c r="BN2826" s="377"/>
      <c r="BO2826" s="377"/>
      <c r="BP2826" s="377"/>
      <c r="BQ2826" s="377"/>
    </row>
    <row r="2827" spans="1:69" s="426" customFormat="1" hidden="1" outlineLevel="1">
      <c r="A2827" s="448" t="s">
        <v>330</v>
      </c>
      <c r="B2827" s="392"/>
      <c r="C2827" s="414"/>
      <c r="D2827" s="490"/>
      <c r="E2827" s="424"/>
      <c r="F2827" s="443"/>
      <c r="G2827" s="525"/>
      <c r="H2827" s="385" t="s">
        <v>359</v>
      </c>
      <c r="I2827" s="510">
        <f t="shared" si="8"/>
        <v>99</v>
      </c>
      <c r="J2827" s="425" t="s">
        <v>366</v>
      </c>
      <c r="K2827" s="464"/>
      <c r="L2827" s="464"/>
      <c r="M2827" s="423"/>
      <c r="N2827" s="423"/>
      <c r="O2827" s="377"/>
      <c r="P2827" s="377"/>
      <c r="Q2827" s="377"/>
      <c r="R2827" s="377"/>
      <c r="S2827" s="377"/>
      <c r="T2827" s="377"/>
      <c r="U2827" s="377"/>
      <c r="V2827" s="377"/>
      <c r="W2827" s="377"/>
      <c r="X2827" s="377"/>
      <c r="Y2827" s="377"/>
      <c r="Z2827" s="377"/>
      <c r="AA2827" s="377"/>
      <c r="AB2827" s="377"/>
      <c r="AC2827" s="377"/>
      <c r="AD2827" s="377"/>
      <c r="AE2827" s="377"/>
      <c r="AF2827" s="377"/>
      <c r="AG2827" s="377"/>
      <c r="AH2827" s="377"/>
      <c r="AI2827" s="377"/>
      <c r="AJ2827" s="377"/>
      <c r="AK2827" s="377"/>
      <c r="AL2827" s="377"/>
      <c r="AM2827" s="377"/>
      <c r="AN2827" s="377"/>
      <c r="AO2827" s="377"/>
      <c r="AP2827" s="377"/>
      <c r="AQ2827" s="377"/>
      <c r="AR2827" s="377"/>
      <c r="AS2827" s="377"/>
      <c r="AT2827" s="377"/>
      <c r="AU2827" s="377"/>
      <c r="AV2827" s="377"/>
      <c r="AW2827" s="377"/>
      <c r="AX2827" s="377"/>
      <c r="AY2827" s="377"/>
      <c r="AZ2827" s="377"/>
      <c r="BA2827" s="377"/>
      <c r="BB2827" s="377"/>
      <c r="BC2827" s="377"/>
      <c r="BD2827" s="377"/>
      <c r="BE2827" s="377"/>
      <c r="BF2827" s="377"/>
      <c r="BG2827" s="377"/>
      <c r="BH2827" s="377"/>
      <c r="BI2827" s="377"/>
      <c r="BJ2827" s="377"/>
      <c r="BK2827" s="377"/>
      <c r="BL2827" s="377"/>
      <c r="BM2827" s="377"/>
      <c r="BN2827" s="377"/>
      <c r="BO2827" s="377"/>
      <c r="BP2827" s="377"/>
      <c r="BQ2827" s="377"/>
    </row>
    <row r="2828" spans="1:69" s="426" customFormat="1" hidden="1" outlineLevel="1">
      <c r="A2828" s="448" t="s">
        <v>331</v>
      </c>
      <c r="B2828" s="392"/>
      <c r="C2828" s="414"/>
      <c r="D2828" s="490"/>
      <c r="E2828" s="424"/>
      <c r="F2828" s="443"/>
      <c r="G2828" s="525"/>
      <c r="H2828" s="385" t="s">
        <v>347</v>
      </c>
      <c r="I2828" s="510">
        <f t="shared" si="8"/>
        <v>60</v>
      </c>
      <c r="J2828" s="425" t="s">
        <v>366</v>
      </c>
      <c r="K2828" s="464"/>
      <c r="L2828" s="464"/>
      <c r="M2828" s="423"/>
      <c r="N2828" s="423"/>
      <c r="O2828" s="377"/>
      <c r="P2828" s="377"/>
      <c r="Q2828" s="377"/>
      <c r="R2828" s="377"/>
      <c r="S2828" s="377"/>
      <c r="T2828" s="377"/>
      <c r="U2828" s="377"/>
      <c r="V2828" s="377"/>
      <c r="W2828" s="377"/>
      <c r="X2828" s="377"/>
      <c r="Y2828" s="377"/>
      <c r="Z2828" s="377"/>
      <c r="AA2828" s="377"/>
      <c r="AB2828" s="377"/>
      <c r="AC2828" s="377"/>
      <c r="AD2828" s="377"/>
      <c r="AE2828" s="377"/>
      <c r="AF2828" s="377"/>
      <c r="AG2828" s="377"/>
      <c r="AH2828" s="377"/>
      <c r="AI2828" s="377"/>
      <c r="AJ2828" s="377"/>
      <c r="AK2828" s="377"/>
      <c r="AL2828" s="377"/>
      <c r="AM2828" s="377"/>
      <c r="AN2828" s="377"/>
      <c r="AO2828" s="377"/>
      <c r="AP2828" s="377"/>
      <c r="AQ2828" s="377"/>
      <c r="AR2828" s="377"/>
      <c r="AS2828" s="377"/>
      <c r="AT2828" s="377"/>
      <c r="AU2828" s="377"/>
      <c r="AV2828" s="377"/>
      <c r="AW2828" s="377"/>
      <c r="AX2828" s="377"/>
      <c r="AY2828" s="377"/>
      <c r="AZ2828" s="377"/>
      <c r="BA2828" s="377"/>
      <c r="BB2828" s="377"/>
      <c r="BC2828" s="377"/>
      <c r="BD2828" s="377"/>
      <c r="BE2828" s="377"/>
      <c r="BF2828" s="377"/>
      <c r="BG2828" s="377"/>
      <c r="BH2828" s="377"/>
      <c r="BI2828" s="377"/>
      <c r="BJ2828" s="377"/>
      <c r="BK2828" s="377"/>
      <c r="BL2828" s="377"/>
      <c r="BM2828" s="377"/>
      <c r="BN2828" s="377"/>
      <c r="BO2828" s="377"/>
      <c r="BP2828" s="377"/>
      <c r="BQ2828" s="377"/>
    </row>
    <row r="2829" spans="1:69" s="426" customFormat="1" hidden="1" outlineLevel="1">
      <c r="A2829" s="448" t="s">
        <v>334</v>
      </c>
      <c r="B2829" s="392"/>
      <c r="C2829" s="414"/>
      <c r="D2829" s="490"/>
      <c r="E2829" s="424"/>
      <c r="F2829" s="443"/>
      <c r="G2829" s="525"/>
      <c r="H2829" s="385" t="s">
        <v>355</v>
      </c>
      <c r="I2829" s="510">
        <f t="shared" si="8"/>
        <v>0</v>
      </c>
      <c r="J2829" s="425" t="s">
        <v>366</v>
      </c>
      <c r="K2829" s="464"/>
      <c r="L2829" s="464"/>
      <c r="M2829" s="423"/>
      <c r="N2829" s="423"/>
      <c r="O2829" s="377"/>
      <c r="P2829" s="377"/>
      <c r="Q2829" s="377"/>
      <c r="R2829" s="377"/>
      <c r="S2829" s="377"/>
      <c r="T2829" s="377"/>
      <c r="U2829" s="377"/>
      <c r="V2829" s="377"/>
      <c r="W2829" s="377"/>
      <c r="X2829" s="377"/>
      <c r="Y2829" s="377"/>
      <c r="Z2829" s="377"/>
      <c r="AA2829" s="377"/>
      <c r="AB2829" s="377"/>
      <c r="AC2829" s="377"/>
      <c r="AD2829" s="377"/>
      <c r="AE2829" s="377"/>
      <c r="AF2829" s="377"/>
      <c r="AG2829" s="377"/>
      <c r="AH2829" s="377"/>
      <c r="AI2829" s="377"/>
      <c r="AJ2829" s="377"/>
      <c r="AK2829" s="377"/>
      <c r="AL2829" s="377"/>
      <c r="AM2829" s="377"/>
      <c r="AN2829" s="377"/>
      <c r="AO2829" s="377"/>
      <c r="AP2829" s="377"/>
      <c r="AQ2829" s="377"/>
      <c r="AR2829" s="377"/>
      <c r="AS2829" s="377"/>
      <c r="AT2829" s="377"/>
      <c r="AU2829" s="377"/>
      <c r="AV2829" s="377"/>
      <c r="AW2829" s="377"/>
      <c r="AX2829" s="377"/>
      <c r="AY2829" s="377"/>
      <c r="AZ2829" s="377"/>
      <c r="BA2829" s="377"/>
      <c r="BB2829" s="377"/>
      <c r="BC2829" s="377"/>
      <c r="BD2829" s="377"/>
      <c r="BE2829" s="377"/>
      <c r="BF2829" s="377"/>
      <c r="BG2829" s="377"/>
      <c r="BH2829" s="377"/>
      <c r="BI2829" s="377"/>
      <c r="BJ2829" s="377"/>
      <c r="BK2829" s="377"/>
      <c r="BL2829" s="377"/>
      <c r="BM2829" s="377"/>
      <c r="BN2829" s="377"/>
      <c r="BO2829" s="377"/>
      <c r="BP2829" s="377"/>
      <c r="BQ2829" s="377"/>
    </row>
    <row r="2830" spans="1:69" s="426" customFormat="1" hidden="1" outlineLevel="1">
      <c r="A2830" s="448" t="s">
        <v>337</v>
      </c>
      <c r="B2830" s="392"/>
      <c r="C2830" s="414"/>
      <c r="D2830" s="490"/>
      <c r="E2830" s="424"/>
      <c r="F2830" s="443"/>
      <c r="G2830" s="525"/>
      <c r="H2830" s="385" t="s">
        <v>356</v>
      </c>
      <c r="I2830" s="510">
        <f t="shared" si="8"/>
        <v>39</v>
      </c>
      <c r="J2830" s="425" t="s">
        <v>366</v>
      </c>
      <c r="K2830" s="464"/>
      <c r="L2830" s="464"/>
      <c r="M2830" s="423"/>
      <c r="N2830" s="423"/>
      <c r="O2830" s="377"/>
      <c r="P2830" s="377"/>
      <c r="Q2830" s="377"/>
      <c r="R2830" s="377"/>
      <c r="S2830" s="377"/>
      <c r="T2830" s="377"/>
      <c r="U2830" s="377"/>
      <c r="V2830" s="377"/>
      <c r="W2830" s="377"/>
      <c r="X2830" s="377"/>
      <c r="Y2830" s="377"/>
      <c r="Z2830" s="377"/>
      <c r="AA2830" s="377"/>
      <c r="AB2830" s="377"/>
      <c r="AC2830" s="377"/>
      <c r="AD2830" s="377"/>
      <c r="AE2830" s="377"/>
      <c r="AF2830" s="377"/>
      <c r="AG2830" s="377"/>
      <c r="AH2830" s="377"/>
      <c r="AI2830" s="377"/>
      <c r="AJ2830" s="377"/>
      <c r="AK2830" s="377"/>
      <c r="AL2830" s="377"/>
      <c r="AM2830" s="377"/>
      <c r="AN2830" s="377"/>
      <c r="AO2830" s="377"/>
      <c r="AP2830" s="377"/>
      <c r="AQ2830" s="377"/>
      <c r="AR2830" s="377"/>
      <c r="AS2830" s="377"/>
      <c r="AT2830" s="377"/>
      <c r="AU2830" s="377"/>
      <c r="AV2830" s="377"/>
      <c r="AW2830" s="377"/>
      <c r="AX2830" s="377"/>
      <c r="AY2830" s="377"/>
      <c r="AZ2830" s="377"/>
      <c r="BA2830" s="377"/>
      <c r="BB2830" s="377"/>
      <c r="BC2830" s="377"/>
      <c r="BD2830" s="377"/>
      <c r="BE2830" s="377"/>
      <c r="BF2830" s="377"/>
      <c r="BG2830" s="377"/>
      <c r="BH2830" s="377"/>
      <c r="BI2830" s="377"/>
      <c r="BJ2830" s="377"/>
      <c r="BK2830" s="377"/>
      <c r="BL2830" s="377"/>
      <c r="BM2830" s="377"/>
      <c r="BN2830" s="377"/>
      <c r="BO2830" s="377"/>
      <c r="BP2830" s="377"/>
      <c r="BQ2830" s="377"/>
    </row>
  </sheetData>
  <autoFilter ref="A6:DZ163"/>
  <dataConsolidate/>
  <customSheetViews>
    <customSheetView guid="{61ED9C2E-151C-43AF-B8D0-9E21D2FA6EF3}" scale="40" showPageBreaks="1" fitToPage="1" printArea="1" showAutoFilter="1" hiddenRows="1" hiddenColumns="1" topLeftCell="A2710">
      <selection activeCell="E1224" sqref="E1224"/>
      <rowBreaks count="1" manualBreakCount="1">
        <brk id="1120" max="100" man="1"/>
      </rowBreaks>
      <pageMargins left="0.25" right="0.25" top="0.75" bottom="0.75" header="0.3" footer="0.3"/>
      <pageSetup paperSize="9" scale="10" orientation="landscape" r:id="rId1"/>
      <autoFilter ref="A16:BY2682"/>
    </customSheetView>
    <customSheetView guid="{42DFB948-3AAE-4BC8-BE98-38DFC75BEBB9}" scale="40" showPageBreaks="1" fitToPage="1" printArea="1" showAutoFilter="1" hiddenRows="1" hiddenColumns="1" topLeftCell="N12">
      <selection activeCell="W23" sqref="W23"/>
      <rowBreaks count="1" manualBreakCount="1">
        <brk id="1118" max="100" man="1"/>
      </rowBreaks>
      <pageMargins left="0.25" right="0.25" top="0.75" bottom="0.75" header="0.3" footer="0.3"/>
      <pageSetup paperSize="9" scale="14" orientation="landscape" r:id="rId2"/>
      <autoFilter ref="A16:BY2681"/>
    </customSheetView>
    <customSheetView guid="{A6591927-B6A0-4F29-ACFB-86D4B856E06A}" scale="70" showPageBreaks="1" fitToPage="1" printArea="1" hiddenRows="1" topLeftCell="A288">
      <selection activeCell="R307" sqref="R307:R308"/>
      <rowBreaks count="1" manualBreakCount="1">
        <brk id="241" max="25" man="1"/>
      </rowBreaks>
      <pageMargins left="0.25" right="0.25" top="0.75" bottom="0.75" header="0.3" footer="0.3"/>
      <pageSetup paperSize="9" scale="41" fitToHeight="0" orientation="landscape" r:id="rId3"/>
    </customSheetView>
    <customSheetView guid="{D9E74CF5-B41B-4B47-9E59-F86450B63E7A}" scale="85" showPageBreaks="1" fitToPage="1" printArea="1" view="pageBreakPreview" topLeftCell="A9">
      <pane xSplit="6" ySplit="6" topLeftCell="G727" activePane="bottomRight" state="frozen"/>
      <selection pane="bottomRight" activeCell="L727" sqref="L727"/>
      <pageMargins left="0.25" right="0.25" top="0.75" bottom="0.75" header="0.3" footer="0.3"/>
      <pageSetup paperSize="8" scale="61" fitToHeight="0" orientation="landscape" r:id="rId4"/>
    </customSheetView>
    <customSheetView guid="{D529A7A1-1933-4765-AA36-44D0FD87D7B1}" scale="85" showPageBreaks="1" fitToPage="1" printArea="1" hiddenRows="1" topLeftCell="B555">
      <selection activeCell="O566" sqref="O566"/>
      <pageMargins left="0.25" right="0.25" top="0.75" bottom="0.75" header="0.3" footer="0.3"/>
      <pageSetup paperSize="8" scale="63" fitToHeight="0" orientation="landscape" r:id="rId5"/>
    </customSheetView>
    <customSheetView guid="{CB05DF4C-FEDB-43E3-82AB-A00D464DEBAB}" scale="85" showPageBreaks="1" fitToPage="1" printArea="1" view="pageBreakPreview" topLeftCell="G274">
      <selection activeCell="Y284" sqref="Y284"/>
      <pageMargins left="0.25" right="0.25" top="0.75" bottom="0.75" header="0.3" footer="0.3"/>
      <pageSetup paperSize="8" scale="46" fitToHeight="0" orientation="landscape" r:id="rId6"/>
    </customSheetView>
    <customSheetView guid="{0943F56E-2267-4333-AC70-CA4FAC995AA9}" scale="70" showPageBreaks="1" fitToPage="1" printArea="1" hiddenColumns="1" topLeftCell="C13">
      <pane xSplit="10" ySplit="3" topLeftCell="N356" activePane="bottomRight" state="frozen"/>
      <selection pane="bottomRight" activeCell="K357" sqref="K357"/>
      <pageMargins left="0.25" right="0.25" top="0.75" bottom="0.75" header="0.3" footer="0.3"/>
      <pageSetup paperSize="8" scale="63" fitToHeight="0" orientation="landscape" r:id="rId7"/>
    </customSheetView>
    <customSheetView guid="{F387C196-EB8F-4F17-8A3D-CFA67F3B2FD1}" scale="70" showPageBreaks="1" fitToPage="1" printArea="1" view="pageBreakPreview" topLeftCell="A15">
      <selection activeCell="S212" sqref="S212"/>
      <rowBreaks count="1" manualBreakCount="1">
        <brk id="257" max="25" man="1"/>
      </rowBreaks>
      <pageMargins left="0.25" right="0.25" top="0.75" bottom="0.75" header="0.3" footer="0.3"/>
      <pageSetup paperSize="8" scale="64" fitToHeight="0" orientation="landscape" r:id="rId8"/>
    </customSheetView>
  </customSheetViews>
  <mergeCells count="80">
    <mergeCell ref="N4:N6"/>
    <mergeCell ref="A2:N2"/>
    <mergeCell ref="H4:H6"/>
    <mergeCell ref="B4:B6"/>
    <mergeCell ref="A137:A138"/>
    <mergeCell ref="A2781:N2781"/>
    <mergeCell ref="J4:J5"/>
    <mergeCell ref="I4:I6"/>
    <mergeCell ref="M4:M6"/>
    <mergeCell ref="A4:A6"/>
    <mergeCell ref="A140:A141"/>
    <mergeCell ref="A2729:N2729"/>
    <mergeCell ref="C4:C6"/>
    <mergeCell ref="D4:D6"/>
    <mergeCell ref="E4:E6"/>
    <mergeCell ref="K4:L5"/>
    <mergeCell ref="F4:G5"/>
    <mergeCell ref="H1787:H1788"/>
    <mergeCell ref="H1789:H1790"/>
    <mergeCell ref="H1795:H1796"/>
    <mergeCell ref="A143:A144"/>
    <mergeCell ref="A146:A149"/>
    <mergeCell ref="A151:A153"/>
    <mergeCell ref="A155:A157"/>
    <mergeCell ref="A231:A232"/>
    <mergeCell ref="A234:A236"/>
    <mergeCell ref="A291:A292"/>
    <mergeCell ref="A294:A299"/>
    <mergeCell ref="A693:A695"/>
    <mergeCell ref="A1087:A1091"/>
    <mergeCell ref="A1093:A1094"/>
    <mergeCell ref="H1773:H1774"/>
    <mergeCell ref="H1781:H1782"/>
    <mergeCell ref="A452:A457"/>
    <mergeCell ref="A459:A467"/>
    <mergeCell ref="A469:A475"/>
    <mergeCell ref="A477:A483"/>
    <mergeCell ref="A485:A489"/>
    <mergeCell ref="A322:A323"/>
    <mergeCell ref="A329:A331"/>
    <mergeCell ref="A334:A337"/>
    <mergeCell ref="A401:A402"/>
    <mergeCell ref="A404:A405"/>
    <mergeCell ref="A307:A308"/>
    <mergeCell ref="A309:A311"/>
    <mergeCell ref="A313:A314"/>
    <mergeCell ref="A315:A317"/>
    <mergeCell ref="A319:A320"/>
    <mergeCell ref="E2235:E2237"/>
    <mergeCell ref="H1797:H1798"/>
    <mergeCell ref="H1805:H1806"/>
    <mergeCell ref="H1810:H1811"/>
    <mergeCell ref="E2053:E2054"/>
    <mergeCell ref="E2058:E2063"/>
    <mergeCell ref="E2065:E2067"/>
    <mergeCell ref="E2069:E2072"/>
    <mergeCell ref="E2074:E2076"/>
    <mergeCell ref="E2078:E2079"/>
    <mergeCell ref="E2121:E2122"/>
    <mergeCell ref="E2082:E2083"/>
    <mergeCell ref="E2090:E2092"/>
    <mergeCell ref="E2099:E2101"/>
    <mergeCell ref="E2104:E2106"/>
    <mergeCell ref="E2108:E2114"/>
    <mergeCell ref="E2221:E2225"/>
    <mergeCell ref="A1124:A1125"/>
    <mergeCell ref="A1129:A1132"/>
    <mergeCell ref="A1134:A1136"/>
    <mergeCell ref="A1138:A1141"/>
    <mergeCell ref="E2085:E2087"/>
    <mergeCell ref="A1096:A1099"/>
    <mergeCell ref="A1107:A1109"/>
    <mergeCell ref="A1111:A1114"/>
    <mergeCell ref="A1116:A1119"/>
    <mergeCell ref="A1121:A1122"/>
    <mergeCell ref="A1143:A1145"/>
    <mergeCell ref="A1149:A1151"/>
    <mergeCell ref="A1153:A1155"/>
    <mergeCell ref="A1157:A1158"/>
    <mergeCell ref="A1266:N1266"/>
  </mergeCells>
  <dataValidations count="12">
    <dataValidation type="list" allowBlank="1" showInputMessage="1" showErrorMessage="1" sqref="F1962 F1965 F1967 F1970 F1972 F1975 F1977 F1823:F1826 F1950 F1981 F1984:F1988 F1990 F1993:F1995 F1997 F2000:F2002 F2004 F2683 F1891 F1440 F1937 F1436:F1437 F1427:F1428 F1430:F1431 F1443:F1444 F1901 F1911 F1433:F1434 F2007:F2009 F1828 F1831 F1834 F1837 F1840 F1424:F1425 F1924 F1844 F1855 F1868 F1881 F1947 F1820 F1952 F1955 F1957 F1960 F127:F131 F1164 F504 F708 F712 F747 F725:F726 F728 F730 F732 F900 F742:F743 F745 F1171 F1173 F1175 F1177 F1179 F1181 F1183 F1185 F1187 F1189 F1191 F1193 F1195 F1197 F1199 F1201 F162:F164 F1213 F1215 F1217 F1219 F1221 F1223 F1225 F1227 F1229 F1231 F1233 F1235 F1237 F1239 F1241 F1243 F1245 F1247 F1249 F1251 F1253 F1255 F723 F1211 F1203 F1205 F1207 F1209 F167 F736 F1257:F1265 F533 F1166 F1162 F1168:F1169">
      <formula1>"- ,Предписание, По состоянию,ПОН,МГ,Аварии,Треб.зав.,Уач. э/э,ППСЛ,"</formula1>
    </dataValidation>
    <dataValidation type="list" allowBlank="1" showInputMessage="1" showErrorMessage="1" sqref="B1498 B1501 B1504 B1319:B1412 B1735 B1739 B1743 B1747 B1485 B1457 B1507:B1531 B1420 B1447 B1414 B1417 B1455 B1465 B1469 B1473 B1477 B1481 B1491 B1493 B1495 B28:B120 B122 B126:B164 B166:B174">
      <formula1>"110 кВ.,35 кВ.,"</formula1>
    </dataValidation>
    <dataValidation type="list" allowBlank="1" showInputMessage="1" showErrorMessage="1" sqref="C2078:C2079 C2070:C2072 C1507:C1508 C2474 C2471 C2468 C2465 C2462 C2459 C2456 C2453 C2450 C2447 C1735 C2094:C2126 C2483 C2590:C2591 C1765 C2149:C2206 C2504 C1587:C1638 C2208:C2264 C1739 C1747 C1743 C2614:C2669 C2498 C2495 C2492 C2489 C2486 C1410:C1411 C2135:C2147 C2128:C2129 C2539:C2540 C2542:C2544 C2546:C2549 C2551:C2552 C2554:C2560 C2562:C2564 C2566:C2567 C2569:C2573 C2575:C2578 C2683 C2480 C2501 C2611:C2612 C2477 C1536:C1541 C2604:C2609 C2266:C2268 C2596:C2600 C2602 C1830:C1838 C2509:C2514 C2011:C2067 C2074:C2076 C2089:C2092 C538 C794:C795 C575:C580 C582:C586 C593:C602 C166:C167 C773:C776 C817:C818 C852:C854 C820:C821 C823:C825 C827:C828 C830:C833 C835:C839 C719:C720 C540:C544 C702 C783 C785 C789:C790 C778:C781 C771 C841 C843:C844 C846:C850 C768:C769 C801 C803:C806 C808:C810 C704 C812:C815 C714 C651:C658 C660:C661 C69:C120 C682:C687 C677:C680 C663:C665 C667:C670 C672:C675 C569:C573 C697:C700 C749 C751:C752 C754 C564 C566:C567 C756:C757 C759 C761:C762 C764 C766 C716:C717 C555:C556 C558 C560 C604:C610 C792 C787 C1068:C1069 C797:C799 C511:C513 C612 C614:C616 C506:C509 C618:C619 C621:C622 C519:C520 C624:C627 C629:C633 C635:C637 C522:C523 C639 C528:C530 C641:C642 C515:C517 C644:C645 C647:C649 C1071 C1079:C1081 C1083 C49:C52 C55:C56 C59:C60 C64:C66 C546 C1076:C1077 C548 C1073:C1074 C550 C562 C1066 C493:C500 C40 C42:C43 C45 C689:C695 C123:C157 C502:C504 C525:C526 C552:C553 C710:C712 C706:C708 C535:C536 C588:C591 C899:C900 C1085:C1094 C1096:C1099 C1101 C1103 C1171 C1173 C1175 C1177 C1179 C1181 C1183 C1185 C1187 C1189 C1191 C1193 C1195 C1197 C1199 C1201 C159:C164 C1213 C1215 C1217 C1219 C1221 C1223 C1225 C1227 C1229 C1231 C1233 C1235 C1237 C1239 C1241 C1243 C1245 C1247 C1249 C1251 C1253 C1255 C532:C533 C1211 C1203 C1205 C1207 C1209 C722:C736 C1164 C1257:C1265 C1166 C1105:C1160 C1162 C1168:C1169 C738:C747">
      <formula1>"АРЭС, НРЭС, ТРЭС"</formula1>
    </dataValidation>
    <dataValidation type="list" allowBlank="1" showInputMessage="1" showErrorMessage="1" sqref="D2653:D2654 D2628 D2625 D2078:D2079 D1410:D1411 D2094:D2147 D2671 D2081 D2596:D2612 D2089:D2092 D2074:D2076 D2011:D2067 D2070:D2072 D2675:D2676 D2614:D2619 D2149:D2264 D2673 D2678:D2680 D2667 D2622 D2639 D2657:D2659 D2662:D2664 D2643 D2646:D2647 D2650 D1536:D1541 D2266 D1735 D1739 D1743 D1747 D794:D795 D575:D580 D582:D586 D593:D602 D773:D776 D812:D821 D823:D828 D830:D833 D550:D553 D843:D844 D768:D769 D803:D806 D808:D810 D535:D536 D166:D167 D771 D778:D787 D651:D658 D660:D661 D677:D680 D682:D687 D663:D665 D667:D670 D672:D675 D569:D573 D797:D801 D74:D120 D532:D533 D756:D757 D759 D761:D766 D719:D722 D555:D556 D558 D560 D751:D754 D502 D789:D792 D1068:D1069 D835:D841 D511:D513 D612 D614:D616 D506:D509 D618:D619 D621:D622 D519:D520 D624:D627 D629:D633 D635:D637 D522:D523 D639 D604:D610 D528:D530 D641:D642 D515:D517 D644:D645 D647:D649 D1071 D1079:D1081 D1083 D538 D540:D546 D748:D749 D1076:D1077 D548 D1073:D1074 D846:D854 D1066 D493:D500 D733:D735 D525:D526 D562:D564 D566:D567 D689:D695 D709:D710 D697:D706 D588:D591 D713:D717 D123:D164 D1085:D1160 D1162 D738:D740">
      <formula1>"уВС, ГП, Нерюнгринский участок, Центральный участок, Северный участок, Томмотский Участок"</formula1>
    </dataValidation>
    <dataValidation type="list" allowBlank="1" showInputMessage="1" showErrorMessage="1" sqref="B2701 B2713 B2707 B2709 B2699 B2695 B2727 B2715 B2723 B2719 B2682:B2683 B2685 B2687 B2689 B2691 B2693 B2697 B2703 B2717 B2711 B2721 B2725 B1697:B1734 B1736:B1738 B1740:B1742 B1744:B1746 B2270:B2506 B1535:B1695 B2589:B2591 B1748:B1770 B1772:B2009 B2583:B2587 B2538:B2581 B2596:B2674 B2677 B2705 B648 B686 B123:B125 B571 B577 B584 B596 B607 B833 B837 B848 B806 B654 B542 B508 B513 B636 B520 B627 B632 B523 B530 B642 B503:B504 B899:B900 B1171 B1173 B1175 B1177 B1179 B1181 B1183 B1185 B1187 B1189 B1191 B1193 B1195 B1197 B1199 B1201 B1211 B1213 B1215 B1217 B1219 B1221 B1223 B1225 B1227 B1229 B1231 B1233 B1235 B1237 B1239 B1241 B1243 B1245 B1247 B1249 B1251 B1253 B1255 B1203 B1205 B1207 B1209 B1257:B1265 B1166 B1162 B1168:B1169">
      <formula1>"6-10 кВ.,0,4 кВ.,"</formula1>
    </dataValidation>
    <dataValidation type="list" allowBlank="1" showInputMessage="1" showErrorMessage="1" sqref="B2070:B2072 B2081 B2078:B2079 B2084:B2087 B2011:B2067 B2094:B2147 B2149:B2264 B2266:B2268 B2089:B2092 B2074:B2076 B578:B583 B834:B836 B807:B832 B597:B606 B655:B685 B572:B576 B643:B647 B509:B512 B514:B519 B521:B522 B628:B631 B633:B635 B637:B641 B649:B653 B849:B854 B505:B507 B531:B541 B687:B695 B838:B847 B608:B626 B493:B502 B524:B529 B697:B805 B543:B570 B585:B595 B1065:B1160">
      <formula1>"110 кВ.,35кВ.,6-10 кВ.,"</formula1>
    </dataValidation>
    <dataValidation type="list" allowBlank="1" showInputMessage="1" showErrorMessage="1" sqref="C1493 C1495 C1338 C1363 C1366 C1380 C1384 C1400 C1404:C1409 C1457 C1485 C1343 C1323 C1326 C1329 C1332 C1335 C1498 C1340 C1347 C1351 C1354 C1357 C1360 C1414 C1417 C1420 C1504 C1501 C1447 C1455 C1465 C1469 C1473 C1477 C1481 C1491 C67:C68 C46:C48 C53:C54 C57:C58 C61:C63 C28:C39 C41 C44 C168:C174">
      <formula1>"Служба линий"</formula1>
    </dataValidation>
    <dataValidation type="list" allowBlank="1" showInputMessage="1" showErrorMessage="1" sqref="C122 C568 C574 C581 C587 C777 C592 C603 C772 C721 C819 C822 C826 C829 C834 C701 C782 C703 C784 C705 C786 C788 C791 C551 C840 C842 C845 C1075 C737 C802 C715 C807 C811 C718 C816 C650 C539 C659 C662 C681 C688 C545 C666 C671 C676 C537 C748 C750 C753 C563 C565 C755 C758 C760 C763 C765 C767 C554 C557 C559 C561 C770 C796 C793 C1067 C709 C800 C713 C611 C505 C501 C613 C617 C510 C620 C518 C623 C521 C628 C634 C638 C524 C640 C527 C514 C643 C534 C646 C1070 C1072 C1078 C1082 C1084 C547 C531 C549 C851 C1065 C158 C1104 C1095 C1100">
      <formula1>"БРЭС,ВРЭС,ГРЭС,ЛРЭС,СРЭС,ЮРЭС,СЛ,СПС,СТЭ"</formula1>
    </dataValidation>
    <dataValidation type="list" allowBlank="1" showInputMessage="1" showErrorMessage="1" sqref="D122 D568 D574 D581 D587 D777 D592 D603 D772 D822 D829 D834 D788 D842 D845 D737 D802 D807 D811 D718 D650 D539 D659 D662 D681 D688 D666 D671 D676 D537 D750 D565 D755 D758 D760 D767 D554 D557 D559 D561 D770 D796 D793 D1067 D611 D505 D501 D613 D617 D510 D620 D518 D623 D521 D628 D634 D638 D524 D640 D527 D514 D643 D534 D646 D1070 D1072 D1078 D1082 D1084 D547 D531 D549 D1075 D1065">
      <formula1>"ЦЭС"</formula1>
    </dataValidation>
    <dataValidation type="list" allowBlank="1" showInputMessage="1" showErrorMessage="1" sqref="D1319:D1409 D1412 D1457 D1485 D1445 D1525 D1414 D1535 D1417 D1420 D1531 D1509 D1512 D1515 D1518 D1521 D1772:D1945 D1447 D1504 D1423 D1426 D1429 D1432 D1435 D1438 D1441 D1455 D1465 D1469 D1473 D1477 D1481 D1491 D1493 D1495 D1498 D1501 D1529 D28:D73 D168:D174">
      <formula1>"ЦЭС, СЭС"</formula1>
    </dataValidation>
    <dataValidation type="list" allowBlank="1" showInputMessage="1" showErrorMessage="1" sqref="I2472:I2473 I1757:I1758 I1760:I1761 I1891:I1893 I1645:I1647 I1840:I1842 I2416 I2418:I2419 I2421:I2422 I1664:I1665 I2424:I2425 I2427:I2428 I2430:I2431 I2433:I2434 I2436:I2437 I2439:I2440 I2442:I2443 I2475:I2476 I2478:I2479 I2481:I2482 I2484:I2485 I2487:I2488 I2490:I2491 I2445:I2446 I1942:I1943 I2493:I2494 I2496:I2497 I2499:I2500 I2502:I2503 I2505:I2506 I1896:I1897 I1861 I1873:I1874 I1886:I1887 I1906:I1907 I1916:I1917 I1844:I1846 I1849:I1850 I1855:I1857 I1868:I1870 I1881:I1883 I1901:I1903 I1911:I1913 I1929:I1930 I1924:I1926 I1937:I1939 I1649:I1653 I2454:I2455 I2457:I2458 I2460:I2461 I2463:I2464 I1640:I1642 I2551:I2552 I2554:I2560 I2566:I2567 I2569:I2573 I2562:I2564 I2539:I2540 I2542:I2544 I2548:I2549 I2448:I2449 I2451:I2452 I2466:I2467 I2469:I2470 I1661:I1662 I1763:I1764 I2575:I2578 I2546 I2580:I2581 I2583:I2587">
      <formula1>#REF!</formula1>
    </dataValidation>
    <dataValidation type="list" allowBlank="1" showInputMessage="1" showErrorMessage="1" sqref="D1703 D2267:D2268 D1765 D1751 D1748 D1744 D2620:D2621 D2626:D2627 D2629:D2638 D2623:D2624 D1706 D1709 D1714 D1717 D1720 D1723 D1726 D1729 D1732 D1736 D1740 D1680 D1688 D2640:D2642 D2644:D2645 D2648:D2649 D2651:D2652 D2655:D2656 D2660:D2661 D1697 D2665:D2666 D2590 D1690 D1678 D1686 D1676 D1672 D1674 D1670 D1668 D1666 D1682 D2672 D2668:D2670 D2674 D1684 D1694 D1700 D1759 D1756 D1762 D1692 D1507 D2677">
      <formula1>"СП СЭС"</formula1>
    </dataValidation>
  </dataValidations>
  <pageMargins left="0.23622047244094491" right="0.23622047244094491" top="0.74803149606299213" bottom="0.74803149606299213" header="0.31496062992125984" footer="0.31496062992125984"/>
  <pageSetup paperSize="9" scale="22" fitToHeight="0" orientation="landscape" r:id="rId9"/>
  <rowBreaks count="17" manualBreakCount="17">
    <brk id="135" max="116" man="1"/>
    <brk id="491" max="116" man="1"/>
    <brk id="563" max="116" man="1"/>
    <brk id="665" max="116" man="1"/>
    <brk id="744" max="116" man="1"/>
    <brk id="845" max="116" man="1"/>
    <brk id="1075" max="116" man="1"/>
    <brk id="1188" max="116" man="1"/>
    <brk id="1231" max="116" man="1"/>
    <brk id="1340" max="116" man="1"/>
    <brk id="1469" max="116" man="1"/>
    <brk id="1786" max="116" man="1"/>
    <brk id="1889" max="116" man="1"/>
    <brk id="2003" max="116" man="1"/>
    <brk id="2080" max="116" man="1"/>
    <brk id="2250" max="116" man="1"/>
    <brk id="2506" max="116" man="1"/>
  </rowBreaks>
  <extLst>
    <ext xmlns:x14="http://schemas.microsoft.com/office/spreadsheetml/2009/9/main" uri="{CCE6A557-97BC-4b89-ADB6-D9C93CAAB3DF}">
      <x14:dataValidations xmlns:xm="http://schemas.microsoft.com/office/excel/2006/main" count="9">
        <x14:dataValidation type="list" allowBlank="1" showInputMessage="1" showErrorMessage="1">
          <x14:formula1>
            <xm:f>'C:\Users\basenko_sa.RSK\Documents\Ремонт\Капремонт\2021\План\ГПР\[АРЭС ГПР-2021 от 26.03.2020.xlsx]справочник '!#REF!</xm:f>
          </x14:formula1>
          <xm:sqref>I1667 I1669 I1671 I1673 I1675 I1677 I1679 I1681 I1683 I1685 I1687 I1689 I1691 I1693 I1695</xm:sqref>
        </x14:dataValidation>
        <x14:dataValidation type="list" allowBlank="1" showInputMessage="1" showErrorMessage="1">
          <x14:formula1>
            <xm:f>'C:\Users\Matyukhina_sa\Documents\2021\3 ГПР-2020 ПСП\[Приложение 1 Годовая программа ремонтов 2021 ПСП.xlsx]справочник '!#REF!</xm:f>
          </x14:formula1>
          <xm:sqref>I1415:I1416 I1814:I1817 I1327:I1328 I1330:I1331 I1526:I1528 I1336:I1337 I1339 I1341:I1342 I1345:I1346 I1348:I1350 I1352:I1353 I1355:I1356 I1358:I1359 I1361:I1362 I1333:I1334 I1536:I1540 I1410:I1411 I1519:I1520 I1522:I1524 I1513:I1514 I1516:I1517 I1418:I1419 I1421:I1422 I1320:I1322 I1510:I1511 I1773:I1776 I1781:I1782 I1784:I1785 I1779 I1787:I1790 I1792:I1793 I1795:I1798 I1800:I1801 I1803:I1806 I1809:I1811 I1324:I1325</xm:sqref>
        </x14:dataValidation>
        <x14:dataValidation type="list" allowBlank="1" showInputMessage="1" showErrorMessage="1">
          <x14:formula1>
            <xm:f>'\\rsk51srv023\Shares\PTS\1 ПТС ОБЩАЯ\2021\1 ГПР-2021 Формирование\от РЭСов и служб\[АРЭС ГПР-2021 от 06.03.220.xlsx]справочник '!#REF!</xm:f>
          </x14:formula1>
          <xm:sqref>I1852:I1853 I1919:I1920 I1863:I1864 I1876:I1877 I1932:I1933</xm:sqref>
        </x14:dataValidation>
        <x14:dataValidation type="list" allowBlank="1" showInputMessage="1" showErrorMessage="1">
          <x14:formula1>
            <xm:f>'C:\Users\basenko_sa.RSK\Documents\Ремонт\Капремонт\2021\План\ГПР\[АРЭС ГПР-2021 от 06.03.220.xlsx]справочник '!#REF!</xm:f>
          </x14:formula1>
          <xm:sqref>I2357:I2358 I2360 I2364 I2371 I2373 I2375 I2377 I2379:I2381 I2362 I2366:I2367 I2369 I2385 I2389:I2390 I2392:I2393 I2398:I2399 I2401 I2403:I2404 I2406:I2407 I2409 I2395:I2396 I2411:I2412 I2414</xm:sqref>
        </x14:dataValidation>
        <x14:dataValidation type="list" allowBlank="1" showInputMessage="1" showErrorMessage="1">
          <x14:formula1>
            <xm:f>'C:\Users\plyuyko_os\Desktop\[ГПР-2021 по новой форме.xlsx]справочник '!#REF!</xm:f>
          </x14:formula1>
          <xm:sqref>I2267 I2265 I2256 I2248:I2249 I2251 I2253:I2254 I2258:I2259 I2261:I2262 I2150 I2152:I2155 I2157:I2163 I2165 I2167:I2169 I2171:I2172 I2174:I2176 I2178 I2182:I2184 I2186:I2187 I2189 I2191:I2192 I2194:I2196 I2227:I2229 I2235:I2237 I2216 I2245:I2246 I2243 I2241 I2089:I2092 I2239 I2232 I2198 I2204 I2214 I2200:I2201 I2023:I2024 I2127 I2140 I2136:I2138 I2142:I2147 I2052:I2055 I2030:I2031 I2012:I2013 I2081:I2087 I2026:I2028 I2129:I2134 I2035 I2116 I2033 I2074:I2076 I2094:I2096 I2103:I2106 I2108:I2114 I2124:I2125 I2099:I2101 I2043:I2044 I2065:I2067 I2121:I2122 I2078:I2079 I2057:I2063 I2070:I2071 I2037:I2041 I2017:I2021 I2046:I2050 I2118:I2119 I2218:I2219 I2207:I2210 I2225 I2221:I2223</xm:sqref>
        </x14:dataValidation>
        <x14:dataValidation type="list" allowBlank="1" showInputMessage="1" showErrorMessage="1">
          <x14:formula1>
            <xm:f>'C:\Users\basenko_sa.RSK\Documents\Ремонт\Капремонт\2021\План\ГПР\[АРЭС ГПР-2021 от 04.03.220.xlsx]справочник '!#REF!</xm:f>
          </x14:formula1>
          <xm:sqref>I1603:I1605 I1621:I1622 I1831:I1832 I1834:I1835 I2383 I1837:I1838</xm:sqref>
        </x14:dataValidation>
        <x14:dataValidation type="list" allowBlank="1" showInputMessage="1" showErrorMessage="1">
          <x14:formula1>
            <xm:f>'V:\PTS\1 ПТС ОБЩАЯ\2021\1 ГПР-2021 Формирование\[АРЭС ГПР-2021 от 03.03.220.xlsx]справочник '!#REF!</xm:f>
          </x14:formula1>
          <xm:sqref>I1508 I1593 I1637:I1638 I1588 I1595:I1598 I1600:I1601 I1607 I1609:I1615 I1617:I1619 I1710:I1713 I1715:I1716 I1718:I1719 I1721:I1722 I1724:I1725 I1727:I1728 I1730:I1731 I1733:I1735 I1737:I1739 I1741:I1743 I1745:I1747 I1624:I1629 I1631:I1632 I1634:I1635 I1591 I1749:I1750 I1752:I1755</xm:sqref>
        </x14:dataValidation>
        <x14:dataValidation type="list" allowBlank="1" showInputMessage="1" showErrorMessage="1">
          <x14:formula1>
            <xm:f>'C:\Е\Ремонт\2021\[Приложение 1 Годовая программа ремонтов 2021.xlsx]справочник '!#REF!</xm:f>
          </x14:formula1>
          <xm:sqref>I1566:I1567 I1547</xm:sqref>
        </x14:dataValidation>
        <x14:dataValidation type="list" allowBlank="1" showInputMessage="1" showErrorMessage="1">
          <x14:formula1>
            <xm:f>'C:\Users\pischur_vn\Desktop\Текущая работа\2021 год\ГПР-2021 для утверждения\СП ЦЭС\[!!! ГПР 2021 от 30.07.2020.xlsx]справочник '!#REF!</xm:f>
          </x14:formula1>
          <xm:sqref>I66 I164 I127:I132 I29:I31 I49 I51 I47 I54:I56 I58:I60 I68:I73 I64 I62 I166 I33:I35 I37:I45 I134 I158 I169:I170 I174 I572:I573 I569:I570 I778 I575:I576 I582 I494:I495 I585:I586 I588:I589 I498 I604 I593 I698 I773:I774 I820 I823 I827 I830 I1076 I835 I838 I803 I702 I783 I710 I785 I535 I555 I689 I841 I843 I846 I849 I771 I1068 I812 I808 I706 I817 I651 I540 I660:I661 I663 I682 I677 I1079 I667 I672 I621 I749 I754 I564 I764 I766 I525 I558 I550 I797 I792 I794 I704 I801 I787 I714 I716 I506 I612 I614 I618 I852 I624 I629 I635 I641 I639 I562 I644 I515:I517 I552 I647:I648 I1073 I546 I500 I532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881"/>
  <sheetViews>
    <sheetView topLeftCell="D11" workbookViewId="0">
      <selection activeCell="F39" sqref="F39"/>
    </sheetView>
  </sheetViews>
  <sheetFormatPr defaultColWidth="9.140625" defaultRowHeight="15"/>
  <cols>
    <col min="1" max="1" width="9.140625" style="211"/>
    <col min="2" max="2" width="10.85546875" style="211" customWidth="1"/>
    <col min="3" max="3" width="9.140625" style="211"/>
    <col min="4" max="4" width="10.28515625" style="211" customWidth="1"/>
    <col min="5" max="5" width="9.140625" style="211"/>
    <col min="6" max="6" width="45.140625" style="223" customWidth="1"/>
    <col min="7" max="7" width="9.140625" style="211"/>
    <col min="8" max="8" width="45" style="210" customWidth="1"/>
    <col min="9" max="9" width="9.140625" style="211"/>
    <col min="10" max="10" width="36.42578125" style="211" customWidth="1"/>
    <col min="11" max="11" width="9.140625" style="211"/>
    <col min="12" max="12" width="36.85546875" style="211" customWidth="1"/>
    <col min="13" max="13" width="9.140625" style="211"/>
    <col min="14" max="14" width="7.5703125" style="211" customWidth="1"/>
    <col min="15" max="16384" width="9.140625" style="211"/>
  </cols>
  <sheetData>
    <row r="2" spans="2:14">
      <c r="B2" s="154"/>
      <c r="C2" s="210"/>
      <c r="D2" s="154"/>
      <c r="J2" s="212"/>
    </row>
    <row r="3" spans="2:14">
      <c r="B3" s="154"/>
      <c r="C3" s="210"/>
      <c r="D3" s="154"/>
      <c r="F3" s="224" t="s">
        <v>143</v>
      </c>
      <c r="H3" s="214" t="s">
        <v>144</v>
      </c>
      <c r="J3" s="213" t="s">
        <v>145</v>
      </c>
      <c r="L3" s="214" t="s">
        <v>146</v>
      </c>
      <c r="N3" s="211" t="s">
        <v>128</v>
      </c>
    </row>
    <row r="4" spans="2:14" ht="15" customHeight="1">
      <c r="B4" s="154"/>
      <c r="C4" s="210"/>
      <c r="D4" s="154"/>
      <c r="F4" s="224" t="s">
        <v>147</v>
      </c>
      <c r="H4" s="214" t="s">
        <v>148</v>
      </c>
      <c r="J4" s="213" t="s">
        <v>149</v>
      </c>
      <c r="L4" s="214" t="s">
        <v>150</v>
      </c>
      <c r="N4" s="211" t="s">
        <v>133</v>
      </c>
    </row>
    <row r="5" spans="2:14" ht="15" customHeight="1">
      <c r="B5" s="154"/>
      <c r="C5" s="210"/>
      <c r="D5" s="154"/>
      <c r="F5" s="224" t="s">
        <v>151</v>
      </c>
      <c r="H5" s="214" t="s">
        <v>152</v>
      </c>
      <c r="J5" s="213" t="s">
        <v>153</v>
      </c>
      <c r="L5" s="209" t="s">
        <v>154</v>
      </c>
      <c r="N5" s="211" t="s">
        <v>84</v>
      </c>
    </row>
    <row r="6" spans="2:14" ht="15" customHeight="1">
      <c r="B6" s="210"/>
      <c r="C6" s="210"/>
      <c r="D6" s="154"/>
      <c r="F6" s="224" t="s">
        <v>155</v>
      </c>
      <c r="H6" s="215" t="s">
        <v>156</v>
      </c>
      <c r="J6" s="213" t="s">
        <v>157</v>
      </c>
      <c r="L6" s="209" t="s">
        <v>158</v>
      </c>
      <c r="N6" s="211" t="s">
        <v>93</v>
      </c>
    </row>
    <row r="7" spans="2:14" ht="15" customHeight="1">
      <c r="B7" s="210"/>
      <c r="C7" s="210"/>
      <c r="D7" s="210"/>
      <c r="F7" s="209" t="s">
        <v>159</v>
      </c>
      <c r="H7" s="215" t="s">
        <v>160</v>
      </c>
      <c r="J7" s="216" t="s">
        <v>39</v>
      </c>
      <c r="L7" s="209" t="s">
        <v>161</v>
      </c>
      <c r="N7" s="211" t="s">
        <v>87</v>
      </c>
    </row>
    <row r="8" spans="2:14" ht="15" customHeight="1">
      <c r="B8" s="210"/>
      <c r="C8" s="210"/>
      <c r="D8" s="210"/>
      <c r="F8" s="209" t="s">
        <v>162</v>
      </c>
      <c r="H8" s="215" t="s">
        <v>163</v>
      </c>
      <c r="J8" s="216" t="s">
        <v>123</v>
      </c>
      <c r="L8" s="209" t="s">
        <v>164</v>
      </c>
      <c r="N8" s="211" t="s">
        <v>88</v>
      </c>
    </row>
    <row r="9" spans="2:14" ht="15" customHeight="1">
      <c r="B9" s="210"/>
      <c r="C9" s="210"/>
      <c r="D9" s="210"/>
      <c r="F9" s="209" t="s">
        <v>165</v>
      </c>
      <c r="H9" s="209" t="s">
        <v>166</v>
      </c>
      <c r="J9" s="209" t="s">
        <v>167</v>
      </c>
      <c r="L9" s="209" t="s">
        <v>168</v>
      </c>
      <c r="N9" s="211" t="s">
        <v>89</v>
      </c>
    </row>
    <row r="10" spans="2:14">
      <c r="C10" s="210"/>
      <c r="F10" s="209" t="s">
        <v>169</v>
      </c>
      <c r="H10" s="209" t="s">
        <v>170</v>
      </c>
      <c r="J10" s="209" t="s">
        <v>112</v>
      </c>
      <c r="L10" s="209" t="s">
        <v>171</v>
      </c>
      <c r="N10" s="211" t="s">
        <v>90</v>
      </c>
    </row>
    <row r="11" spans="2:14">
      <c r="B11" s="210"/>
      <c r="C11" s="210"/>
      <c r="F11" s="209" t="s">
        <v>172</v>
      </c>
      <c r="H11" s="209" t="s">
        <v>173</v>
      </c>
      <c r="J11" s="209" t="s">
        <v>174</v>
      </c>
      <c r="L11" s="209" t="s">
        <v>120</v>
      </c>
      <c r="N11" s="211" t="s">
        <v>85</v>
      </c>
    </row>
    <row r="12" spans="2:14">
      <c r="F12" s="209" t="s">
        <v>175</v>
      </c>
      <c r="H12" s="209" t="s">
        <v>176</v>
      </c>
      <c r="J12" s="209" t="s">
        <v>177</v>
      </c>
      <c r="L12" s="211" t="s">
        <v>178</v>
      </c>
      <c r="N12" s="211" t="s">
        <v>86</v>
      </c>
    </row>
    <row r="13" spans="2:14" ht="30">
      <c r="F13" s="209" t="s">
        <v>179</v>
      </c>
      <c r="H13" s="209" t="s">
        <v>180</v>
      </c>
      <c r="J13" s="209" t="s">
        <v>181</v>
      </c>
      <c r="L13" s="211" t="s">
        <v>124</v>
      </c>
      <c r="N13" s="211" t="s">
        <v>236</v>
      </c>
    </row>
    <row r="14" spans="2:14">
      <c r="F14" s="209" t="s">
        <v>182</v>
      </c>
      <c r="H14" s="209" t="s">
        <v>183</v>
      </c>
      <c r="J14" s="209" t="s">
        <v>184</v>
      </c>
      <c r="L14" s="211" t="s">
        <v>120</v>
      </c>
      <c r="N14" s="211" t="s">
        <v>129</v>
      </c>
    </row>
    <row r="15" spans="2:14">
      <c r="F15" s="209" t="s">
        <v>185</v>
      </c>
      <c r="H15" s="209" t="s">
        <v>186</v>
      </c>
      <c r="J15" s="209" t="s">
        <v>187</v>
      </c>
      <c r="L15" s="211" t="s">
        <v>121</v>
      </c>
    </row>
    <row r="16" spans="2:14">
      <c r="F16" s="209" t="s">
        <v>188</v>
      </c>
      <c r="H16" s="209" t="s">
        <v>189</v>
      </c>
      <c r="J16" s="209" t="s">
        <v>190</v>
      </c>
      <c r="L16" s="211" t="s">
        <v>310</v>
      </c>
    </row>
    <row r="17" spans="6:10">
      <c r="F17" s="209" t="s">
        <v>40</v>
      </c>
      <c r="H17" s="209" t="s">
        <v>191</v>
      </c>
      <c r="J17" s="209" t="s">
        <v>41</v>
      </c>
    </row>
    <row r="18" spans="6:10">
      <c r="F18" s="209" t="s">
        <v>126</v>
      </c>
      <c r="H18" s="209" t="s">
        <v>192</v>
      </c>
      <c r="J18" s="209" t="s">
        <v>40</v>
      </c>
    </row>
    <row r="19" spans="6:10">
      <c r="F19" s="209" t="s">
        <v>193</v>
      </c>
      <c r="H19" s="209" t="s">
        <v>194</v>
      </c>
      <c r="J19" s="209" t="s">
        <v>126</v>
      </c>
    </row>
    <row r="20" spans="6:10">
      <c r="F20" s="209" t="s">
        <v>195</v>
      </c>
      <c r="H20" s="209" t="s">
        <v>196</v>
      </c>
      <c r="J20" s="209" t="s">
        <v>197</v>
      </c>
    </row>
    <row r="21" spans="6:10">
      <c r="F21" s="209" t="s">
        <v>198</v>
      </c>
      <c r="H21" s="209" t="s">
        <v>199</v>
      </c>
      <c r="J21" s="209" t="s">
        <v>193</v>
      </c>
    </row>
    <row r="22" spans="6:10">
      <c r="F22" s="209" t="s">
        <v>200</v>
      </c>
      <c r="H22" s="209" t="s">
        <v>201</v>
      </c>
      <c r="J22" s="209" t="s">
        <v>195</v>
      </c>
    </row>
    <row r="23" spans="6:10" ht="30">
      <c r="F23" s="209" t="s">
        <v>202</v>
      </c>
      <c r="H23" s="209" t="s">
        <v>119</v>
      </c>
      <c r="J23" s="209" t="s">
        <v>198</v>
      </c>
    </row>
    <row r="24" spans="6:10" ht="30">
      <c r="F24" s="209" t="s">
        <v>203</v>
      </c>
      <c r="H24" s="209" t="s">
        <v>204</v>
      </c>
      <c r="J24" s="209" t="s">
        <v>200</v>
      </c>
    </row>
    <row r="25" spans="6:10">
      <c r="F25" s="209" t="s">
        <v>205</v>
      </c>
      <c r="H25" s="209" t="s">
        <v>206</v>
      </c>
      <c r="J25" s="209" t="s">
        <v>207</v>
      </c>
    </row>
    <row r="26" spans="6:10">
      <c r="F26" s="209" t="s">
        <v>113</v>
      </c>
      <c r="H26" s="209" t="s">
        <v>208</v>
      </c>
      <c r="J26" s="209" t="s">
        <v>209</v>
      </c>
    </row>
    <row r="27" spans="6:10">
      <c r="F27" s="209" t="s">
        <v>112</v>
      </c>
      <c r="H27" s="209" t="s">
        <v>210</v>
      </c>
      <c r="J27" s="209" t="s">
        <v>159</v>
      </c>
    </row>
    <row r="28" spans="6:10">
      <c r="F28" s="209" t="s">
        <v>174</v>
      </c>
      <c r="H28" s="209" t="s">
        <v>210</v>
      </c>
      <c r="J28" s="209" t="s">
        <v>162</v>
      </c>
    </row>
    <row r="29" spans="6:10">
      <c r="F29" s="209" t="s">
        <v>211</v>
      </c>
      <c r="H29" s="209" t="s">
        <v>212</v>
      </c>
      <c r="J29" s="209" t="s">
        <v>169</v>
      </c>
    </row>
    <row r="30" spans="6:10">
      <c r="F30" s="209" t="s">
        <v>213</v>
      </c>
      <c r="H30" s="209" t="s">
        <v>214</v>
      </c>
      <c r="J30" s="209" t="s">
        <v>215</v>
      </c>
    </row>
    <row r="31" spans="6:10">
      <c r="F31" s="154" t="s">
        <v>216</v>
      </c>
      <c r="H31" s="209" t="s">
        <v>217</v>
      </c>
      <c r="J31" s="209" t="s">
        <v>218</v>
      </c>
    </row>
    <row r="32" spans="6:10">
      <c r="F32" s="154" t="s">
        <v>219</v>
      </c>
      <c r="H32" s="209" t="s">
        <v>220</v>
      </c>
      <c r="J32" s="209" t="s">
        <v>221</v>
      </c>
    </row>
    <row r="33" spans="6:10">
      <c r="F33" s="154" t="s">
        <v>306</v>
      </c>
      <c r="H33" s="209" t="s">
        <v>222</v>
      </c>
      <c r="J33" s="217" t="s">
        <v>202</v>
      </c>
    </row>
    <row r="34" spans="6:10">
      <c r="F34" s="154" t="s">
        <v>307</v>
      </c>
      <c r="H34" s="209" t="s">
        <v>223</v>
      </c>
      <c r="J34" s="209" t="s">
        <v>103</v>
      </c>
    </row>
    <row r="35" spans="6:10">
      <c r="F35" s="154" t="s">
        <v>246</v>
      </c>
      <c r="H35" s="209" t="s">
        <v>224</v>
      </c>
      <c r="J35" s="217" t="s">
        <v>96</v>
      </c>
    </row>
    <row r="36" spans="6:10">
      <c r="F36" s="223" t="s">
        <v>309</v>
      </c>
      <c r="H36" s="218" t="s">
        <v>225</v>
      </c>
      <c r="J36" s="217" t="s">
        <v>226</v>
      </c>
    </row>
    <row r="37" spans="6:10">
      <c r="F37" s="209" t="s">
        <v>314</v>
      </c>
      <c r="H37" s="218" t="s">
        <v>227</v>
      </c>
      <c r="J37" s="217" t="s">
        <v>228</v>
      </c>
    </row>
    <row r="38" spans="6:10">
      <c r="F38" s="154"/>
      <c r="H38" s="218" t="s">
        <v>229</v>
      </c>
      <c r="J38" s="217" t="s">
        <v>299</v>
      </c>
    </row>
    <row r="39" spans="6:10" ht="30">
      <c r="F39" s="154"/>
      <c r="H39" s="209" t="s">
        <v>230</v>
      </c>
      <c r="J39" s="209" t="s">
        <v>124</v>
      </c>
    </row>
    <row r="40" spans="6:10">
      <c r="F40" s="154"/>
      <c r="H40" s="209" t="s">
        <v>231</v>
      </c>
      <c r="J40" s="209" t="s">
        <v>312</v>
      </c>
    </row>
    <row r="41" spans="6:10">
      <c r="F41" s="154"/>
      <c r="H41" s="209" t="s">
        <v>232</v>
      </c>
      <c r="J41" s="209"/>
    </row>
    <row r="42" spans="6:10">
      <c r="F42" s="154"/>
      <c r="H42" s="154" t="s">
        <v>233</v>
      </c>
      <c r="J42" s="209"/>
    </row>
    <row r="43" spans="6:10">
      <c r="F43" s="154"/>
      <c r="H43" s="209" t="s">
        <v>234</v>
      </c>
      <c r="J43" s="209"/>
    </row>
    <row r="44" spans="6:10">
      <c r="F44" s="154"/>
      <c r="H44" s="209" t="s">
        <v>235</v>
      </c>
      <c r="J44" s="217"/>
    </row>
    <row r="45" spans="6:10">
      <c r="F45" s="154"/>
      <c r="H45" s="209" t="s">
        <v>302</v>
      </c>
      <c r="J45" s="217"/>
    </row>
    <row r="46" spans="6:10">
      <c r="H46" s="215" t="s">
        <v>304</v>
      </c>
      <c r="J46" s="209"/>
    </row>
    <row r="47" spans="6:10">
      <c r="H47" s="209" t="s">
        <v>305</v>
      </c>
      <c r="J47" s="209"/>
    </row>
    <row r="48" spans="6:10">
      <c r="F48" s="225"/>
      <c r="H48" s="209"/>
      <c r="J48" s="209"/>
    </row>
    <row r="49" spans="6:10">
      <c r="F49" s="225"/>
      <c r="H49" s="209"/>
      <c r="J49" s="209"/>
    </row>
    <row r="50" spans="6:10">
      <c r="F50" s="225"/>
      <c r="H50" s="209"/>
      <c r="J50" s="209"/>
    </row>
    <row r="51" spans="6:10">
      <c r="F51" s="225"/>
      <c r="H51" s="209"/>
      <c r="J51" s="209"/>
    </row>
    <row r="52" spans="6:10">
      <c r="F52" s="225"/>
      <c r="H52" s="209"/>
      <c r="J52" s="209"/>
    </row>
    <row r="53" spans="6:10">
      <c r="F53" s="225"/>
      <c r="H53" s="209"/>
      <c r="J53" s="209"/>
    </row>
    <row r="54" spans="6:10">
      <c r="F54" s="225"/>
      <c r="H54" s="209"/>
      <c r="J54" s="209"/>
    </row>
    <row r="55" spans="6:10">
      <c r="F55" s="225"/>
      <c r="H55" s="209"/>
      <c r="J55" s="209"/>
    </row>
    <row r="56" spans="6:10">
      <c r="F56" s="225"/>
      <c r="H56" s="209"/>
      <c r="J56" s="209"/>
    </row>
    <row r="57" spans="6:10">
      <c r="F57" s="225"/>
      <c r="H57" s="209"/>
      <c r="J57" s="209"/>
    </row>
    <row r="58" spans="6:10">
      <c r="F58" s="225"/>
      <c r="H58" s="209"/>
      <c r="J58" s="209"/>
    </row>
    <row r="59" spans="6:10">
      <c r="F59" s="225"/>
      <c r="H59" s="209"/>
      <c r="J59" s="209"/>
    </row>
    <row r="60" spans="6:10">
      <c r="F60" s="225"/>
      <c r="H60" s="209"/>
      <c r="J60" s="209"/>
    </row>
    <row r="61" spans="6:10">
      <c r="F61" s="225"/>
      <c r="H61" s="209"/>
      <c r="J61" s="209"/>
    </row>
    <row r="62" spans="6:10">
      <c r="F62" s="225"/>
      <c r="H62" s="209"/>
      <c r="J62" s="209"/>
    </row>
    <row r="63" spans="6:10">
      <c r="F63" s="225"/>
      <c r="H63" s="209"/>
      <c r="J63" s="209"/>
    </row>
    <row r="64" spans="6:10">
      <c r="F64" s="225"/>
      <c r="H64" s="209"/>
      <c r="J64" s="209"/>
    </row>
    <row r="65" spans="6:10">
      <c r="F65" s="225"/>
      <c r="H65" s="209"/>
      <c r="J65" s="209"/>
    </row>
    <row r="66" spans="6:10">
      <c r="F66" s="225"/>
      <c r="H66" s="209"/>
      <c r="J66" s="209"/>
    </row>
    <row r="67" spans="6:10">
      <c r="F67" s="225"/>
      <c r="H67" s="209"/>
      <c r="J67" s="209"/>
    </row>
    <row r="68" spans="6:10">
      <c r="F68" s="225"/>
      <c r="H68" s="209"/>
      <c r="J68" s="209"/>
    </row>
    <row r="69" spans="6:10">
      <c r="F69" s="225"/>
      <c r="H69" s="209"/>
      <c r="J69" s="209"/>
    </row>
    <row r="70" spans="6:10">
      <c r="F70" s="225"/>
      <c r="H70" s="209"/>
      <c r="J70" s="209"/>
    </row>
    <row r="71" spans="6:10">
      <c r="F71" s="225"/>
      <c r="H71" s="209"/>
      <c r="J71" s="209"/>
    </row>
    <row r="72" spans="6:10">
      <c r="F72" s="225"/>
      <c r="H72" s="209"/>
      <c r="J72" s="209"/>
    </row>
    <row r="73" spans="6:10">
      <c r="F73" s="225"/>
      <c r="H73" s="209"/>
      <c r="J73" s="209"/>
    </row>
    <row r="74" spans="6:10">
      <c r="F74" s="225"/>
      <c r="H74" s="209"/>
      <c r="J74" s="209"/>
    </row>
    <row r="75" spans="6:10">
      <c r="F75" s="225"/>
      <c r="H75" s="209"/>
      <c r="J75" s="209"/>
    </row>
    <row r="76" spans="6:10">
      <c r="F76" s="225"/>
      <c r="H76" s="209"/>
      <c r="J76" s="209"/>
    </row>
    <row r="77" spans="6:10">
      <c r="F77" s="225"/>
      <c r="H77" s="209"/>
      <c r="J77" s="209"/>
    </row>
    <row r="78" spans="6:10">
      <c r="F78" s="225"/>
      <c r="H78" s="209"/>
      <c r="J78" s="209"/>
    </row>
    <row r="79" spans="6:10">
      <c r="F79" s="225"/>
      <c r="H79" s="209"/>
      <c r="J79" s="209"/>
    </row>
    <row r="80" spans="6:10">
      <c r="F80" s="225"/>
      <c r="H80" s="209"/>
      <c r="J80" s="209"/>
    </row>
    <row r="81" spans="6:10">
      <c r="F81" s="225"/>
      <c r="H81" s="209"/>
      <c r="J81" s="209"/>
    </row>
    <row r="82" spans="6:10">
      <c r="F82" s="225"/>
      <c r="H82" s="209"/>
      <c r="J82" s="209"/>
    </row>
    <row r="83" spans="6:10">
      <c r="F83" s="225"/>
      <c r="H83" s="209"/>
      <c r="J83" s="209"/>
    </row>
    <row r="84" spans="6:10">
      <c r="F84" s="225"/>
      <c r="H84" s="209"/>
      <c r="J84" s="209"/>
    </row>
    <row r="85" spans="6:10">
      <c r="F85" s="225"/>
      <c r="H85" s="209"/>
      <c r="J85" s="209"/>
    </row>
    <row r="86" spans="6:10">
      <c r="F86" s="225"/>
      <c r="H86" s="209"/>
      <c r="J86" s="209"/>
    </row>
    <row r="87" spans="6:10">
      <c r="F87" s="225"/>
      <c r="H87" s="209"/>
      <c r="J87" s="209"/>
    </row>
    <row r="88" spans="6:10">
      <c r="F88" s="225"/>
      <c r="H88" s="209"/>
      <c r="J88" s="209"/>
    </row>
    <row r="89" spans="6:10">
      <c r="F89" s="225"/>
      <c r="H89" s="209"/>
      <c r="J89" s="209"/>
    </row>
    <row r="90" spans="6:10">
      <c r="F90" s="225"/>
      <c r="H90" s="209"/>
      <c r="J90" s="209"/>
    </row>
    <row r="91" spans="6:10">
      <c r="F91" s="225"/>
      <c r="H91" s="209"/>
      <c r="J91" s="209"/>
    </row>
    <row r="92" spans="6:10">
      <c r="F92" s="225"/>
      <c r="H92" s="209"/>
      <c r="J92" s="209"/>
    </row>
    <row r="93" spans="6:10">
      <c r="F93" s="225"/>
      <c r="H93" s="209"/>
      <c r="J93" s="209"/>
    </row>
    <row r="94" spans="6:10">
      <c r="F94" s="225"/>
      <c r="H94" s="209"/>
      <c r="J94" s="209"/>
    </row>
    <row r="95" spans="6:10">
      <c r="F95" s="225"/>
      <c r="H95" s="209"/>
      <c r="J95" s="209"/>
    </row>
    <row r="96" spans="6:10">
      <c r="F96" s="225"/>
      <c r="H96" s="209"/>
      <c r="J96" s="209"/>
    </row>
    <row r="97" spans="6:10">
      <c r="F97" s="225"/>
      <c r="H97" s="209"/>
      <c r="J97" s="209"/>
    </row>
    <row r="98" spans="6:10">
      <c r="F98" s="225"/>
      <c r="H98" s="209"/>
      <c r="J98" s="209"/>
    </row>
    <row r="99" spans="6:10">
      <c r="F99" s="225"/>
      <c r="H99" s="209"/>
      <c r="J99" s="209"/>
    </row>
    <row r="100" spans="6:10">
      <c r="F100" s="225"/>
      <c r="H100" s="209"/>
      <c r="J100" s="209"/>
    </row>
    <row r="101" spans="6:10">
      <c r="F101" s="225"/>
      <c r="H101" s="209"/>
      <c r="J101" s="209"/>
    </row>
    <row r="102" spans="6:10">
      <c r="F102" s="225"/>
      <c r="H102" s="209"/>
      <c r="J102" s="209"/>
    </row>
    <row r="103" spans="6:10">
      <c r="F103" s="225"/>
      <c r="H103" s="209"/>
      <c r="J103" s="209"/>
    </row>
    <row r="104" spans="6:10">
      <c r="F104" s="225"/>
      <c r="H104" s="209"/>
      <c r="J104" s="209"/>
    </row>
    <row r="105" spans="6:10">
      <c r="F105" s="225"/>
      <c r="H105" s="209"/>
      <c r="J105" s="209"/>
    </row>
    <row r="106" spans="6:10">
      <c r="F106" s="225"/>
      <c r="H106" s="209"/>
      <c r="J106" s="209"/>
    </row>
    <row r="107" spans="6:10">
      <c r="F107" s="225"/>
      <c r="H107" s="209"/>
      <c r="J107" s="209"/>
    </row>
    <row r="108" spans="6:10">
      <c r="F108" s="225"/>
      <c r="H108" s="209"/>
      <c r="J108" s="209"/>
    </row>
    <row r="109" spans="6:10">
      <c r="F109" s="225"/>
      <c r="H109" s="209"/>
      <c r="J109" s="209"/>
    </row>
    <row r="110" spans="6:10">
      <c r="F110" s="225"/>
      <c r="H110" s="209"/>
      <c r="J110" s="209"/>
    </row>
    <row r="111" spans="6:10">
      <c r="F111" s="225"/>
      <c r="H111" s="209"/>
      <c r="J111" s="209"/>
    </row>
    <row r="112" spans="6:10">
      <c r="F112" s="225"/>
      <c r="H112" s="209"/>
      <c r="J112" s="209"/>
    </row>
    <row r="113" spans="6:10">
      <c r="F113" s="225"/>
      <c r="H113" s="209"/>
      <c r="J113" s="209"/>
    </row>
    <row r="114" spans="6:10">
      <c r="F114" s="225"/>
      <c r="H114" s="209"/>
      <c r="J114" s="209"/>
    </row>
    <row r="115" spans="6:10">
      <c r="F115" s="225"/>
      <c r="H115" s="209"/>
      <c r="J115" s="209"/>
    </row>
    <row r="116" spans="6:10">
      <c r="F116" s="225"/>
      <c r="H116" s="209"/>
      <c r="J116" s="209"/>
    </row>
    <row r="117" spans="6:10">
      <c r="F117" s="225"/>
      <c r="H117" s="209"/>
      <c r="J117" s="209"/>
    </row>
    <row r="118" spans="6:10">
      <c r="F118" s="225"/>
      <c r="H118" s="209"/>
      <c r="J118" s="209"/>
    </row>
    <row r="119" spans="6:10">
      <c r="F119" s="225"/>
      <c r="H119" s="209"/>
      <c r="J119" s="209"/>
    </row>
    <row r="120" spans="6:10">
      <c r="F120" s="225"/>
      <c r="H120" s="209"/>
      <c r="J120" s="209"/>
    </row>
    <row r="121" spans="6:10">
      <c r="F121" s="225"/>
      <c r="H121" s="209"/>
      <c r="J121" s="209"/>
    </row>
    <row r="122" spans="6:10">
      <c r="F122" s="225"/>
      <c r="H122" s="209"/>
      <c r="J122" s="209"/>
    </row>
    <row r="123" spans="6:10">
      <c r="F123" s="225"/>
      <c r="H123" s="209"/>
      <c r="J123" s="209"/>
    </row>
    <row r="124" spans="6:10">
      <c r="F124" s="225"/>
      <c r="H124" s="209"/>
      <c r="J124" s="209"/>
    </row>
    <row r="125" spans="6:10">
      <c r="F125" s="225"/>
      <c r="H125" s="209"/>
      <c r="J125" s="209"/>
    </row>
    <row r="126" spans="6:10">
      <c r="F126" s="225"/>
      <c r="H126" s="209"/>
      <c r="J126" s="209"/>
    </row>
    <row r="127" spans="6:10">
      <c r="F127" s="225"/>
      <c r="H127" s="209"/>
      <c r="J127" s="209"/>
    </row>
    <row r="128" spans="6:10">
      <c r="F128" s="225"/>
      <c r="H128" s="209"/>
      <c r="J128" s="209"/>
    </row>
    <row r="129" spans="6:10">
      <c r="F129" s="225"/>
      <c r="H129" s="209"/>
      <c r="J129" s="209"/>
    </row>
    <row r="130" spans="6:10">
      <c r="F130" s="225"/>
      <c r="H130" s="209"/>
      <c r="J130" s="209"/>
    </row>
    <row r="131" spans="6:10">
      <c r="F131" s="225"/>
      <c r="H131" s="209"/>
      <c r="J131" s="209"/>
    </row>
    <row r="132" spans="6:10">
      <c r="F132" s="225"/>
      <c r="H132" s="209"/>
      <c r="J132" s="209"/>
    </row>
    <row r="133" spans="6:10">
      <c r="F133" s="225"/>
      <c r="H133" s="209"/>
      <c r="J133" s="209"/>
    </row>
    <row r="134" spans="6:10">
      <c r="F134" s="225"/>
      <c r="H134" s="209"/>
      <c r="J134" s="209"/>
    </row>
    <row r="135" spans="6:10">
      <c r="F135" s="225"/>
      <c r="H135" s="209"/>
      <c r="J135" s="209"/>
    </row>
    <row r="136" spans="6:10">
      <c r="F136" s="225"/>
      <c r="H136" s="209"/>
      <c r="J136" s="209"/>
    </row>
    <row r="137" spans="6:10">
      <c r="F137" s="225"/>
      <c r="H137" s="209"/>
      <c r="J137" s="209"/>
    </row>
    <row r="138" spans="6:10">
      <c r="F138" s="225"/>
      <c r="H138" s="209"/>
      <c r="J138" s="209"/>
    </row>
    <row r="139" spans="6:10">
      <c r="F139" s="225"/>
      <c r="H139" s="209"/>
      <c r="J139" s="209"/>
    </row>
    <row r="140" spans="6:10">
      <c r="F140" s="225"/>
      <c r="H140" s="209"/>
      <c r="J140" s="209"/>
    </row>
    <row r="141" spans="6:10">
      <c r="F141" s="225"/>
      <c r="H141" s="209"/>
      <c r="J141" s="209"/>
    </row>
    <row r="142" spans="6:10">
      <c r="F142" s="225"/>
      <c r="H142" s="209"/>
      <c r="J142" s="209"/>
    </row>
    <row r="143" spans="6:10">
      <c r="F143" s="225"/>
      <c r="H143" s="209"/>
      <c r="J143" s="209"/>
    </row>
    <row r="144" spans="6:10">
      <c r="F144" s="225"/>
      <c r="H144" s="209"/>
      <c r="J144" s="209"/>
    </row>
    <row r="145" spans="6:10">
      <c r="F145" s="225"/>
      <c r="H145" s="209"/>
      <c r="J145" s="209"/>
    </row>
    <row r="146" spans="6:10">
      <c r="F146" s="225"/>
      <c r="H146" s="209"/>
      <c r="J146" s="209"/>
    </row>
    <row r="147" spans="6:10">
      <c r="F147" s="225"/>
      <c r="H147" s="209"/>
      <c r="J147" s="209"/>
    </row>
    <row r="148" spans="6:10">
      <c r="F148" s="225"/>
      <c r="H148" s="209"/>
      <c r="J148" s="209"/>
    </row>
    <row r="149" spans="6:10">
      <c r="F149" s="225"/>
      <c r="H149" s="209"/>
      <c r="J149" s="209"/>
    </row>
    <row r="150" spans="6:10">
      <c r="F150" s="225"/>
      <c r="H150" s="209"/>
      <c r="J150" s="209"/>
    </row>
    <row r="151" spans="6:10">
      <c r="F151" s="225"/>
      <c r="H151" s="209"/>
      <c r="J151" s="209"/>
    </row>
    <row r="152" spans="6:10">
      <c r="F152" s="225"/>
      <c r="H152" s="209"/>
      <c r="J152" s="209"/>
    </row>
    <row r="153" spans="6:10">
      <c r="F153" s="225"/>
      <c r="H153" s="209"/>
      <c r="J153" s="209"/>
    </row>
    <row r="154" spans="6:10">
      <c r="F154" s="225"/>
      <c r="H154" s="209"/>
      <c r="J154" s="209"/>
    </row>
    <row r="155" spans="6:10">
      <c r="F155" s="225"/>
      <c r="H155" s="209"/>
      <c r="J155" s="209"/>
    </row>
    <row r="156" spans="6:10">
      <c r="F156" s="225"/>
      <c r="H156" s="209"/>
      <c r="J156" s="209"/>
    </row>
    <row r="157" spans="6:10">
      <c r="F157" s="225"/>
      <c r="H157" s="209"/>
      <c r="J157" s="209"/>
    </row>
    <row r="158" spans="6:10">
      <c r="F158" s="225"/>
      <c r="H158" s="209"/>
      <c r="J158" s="209"/>
    </row>
    <row r="159" spans="6:10">
      <c r="F159" s="225"/>
      <c r="H159" s="209"/>
      <c r="J159" s="209"/>
    </row>
    <row r="160" spans="6:10">
      <c r="F160" s="225"/>
      <c r="H160" s="209"/>
      <c r="J160" s="209"/>
    </row>
    <row r="161" spans="6:10">
      <c r="F161" s="225"/>
      <c r="H161" s="209"/>
      <c r="J161" s="209"/>
    </row>
    <row r="162" spans="6:10">
      <c r="F162" s="225"/>
      <c r="H162" s="209"/>
      <c r="J162" s="209"/>
    </row>
    <row r="163" spans="6:10">
      <c r="F163" s="225"/>
      <c r="H163" s="209"/>
      <c r="J163" s="209"/>
    </row>
    <row r="164" spans="6:10">
      <c r="F164" s="225"/>
      <c r="H164" s="209"/>
      <c r="J164" s="209"/>
    </row>
    <row r="165" spans="6:10">
      <c r="F165" s="225"/>
      <c r="H165" s="209"/>
      <c r="J165" s="209"/>
    </row>
    <row r="166" spans="6:10">
      <c r="F166" s="225"/>
      <c r="H166" s="209"/>
      <c r="J166" s="209"/>
    </row>
    <row r="167" spans="6:10">
      <c r="F167" s="225"/>
      <c r="H167" s="209"/>
      <c r="J167" s="209"/>
    </row>
    <row r="168" spans="6:10">
      <c r="F168" s="225"/>
      <c r="H168" s="209"/>
      <c r="J168" s="209"/>
    </row>
    <row r="169" spans="6:10">
      <c r="F169" s="225"/>
      <c r="H169" s="209"/>
      <c r="J169" s="209"/>
    </row>
    <row r="170" spans="6:10">
      <c r="F170" s="225"/>
      <c r="H170" s="209"/>
      <c r="J170" s="209"/>
    </row>
    <row r="171" spans="6:10">
      <c r="F171" s="225"/>
      <c r="H171" s="209"/>
      <c r="J171" s="209"/>
    </row>
    <row r="172" spans="6:10">
      <c r="F172" s="225"/>
      <c r="H172" s="209"/>
      <c r="J172" s="209"/>
    </row>
    <row r="173" spans="6:10">
      <c r="F173" s="225"/>
      <c r="H173" s="209"/>
      <c r="J173" s="209"/>
    </row>
    <row r="174" spans="6:10">
      <c r="F174" s="225"/>
      <c r="H174" s="209"/>
      <c r="J174" s="209"/>
    </row>
    <row r="175" spans="6:10">
      <c r="F175" s="225"/>
      <c r="H175" s="209"/>
      <c r="J175" s="209"/>
    </row>
    <row r="176" spans="6:10">
      <c r="F176" s="225"/>
      <c r="H176" s="209"/>
      <c r="J176" s="209"/>
    </row>
    <row r="177" spans="6:10">
      <c r="F177" s="225"/>
      <c r="H177" s="209"/>
      <c r="J177" s="209"/>
    </row>
    <row r="178" spans="6:10">
      <c r="F178" s="225"/>
      <c r="H178" s="209"/>
      <c r="J178" s="209"/>
    </row>
    <row r="179" spans="6:10">
      <c r="F179" s="225"/>
      <c r="H179" s="209"/>
      <c r="J179" s="209"/>
    </row>
    <row r="180" spans="6:10">
      <c r="F180" s="225"/>
      <c r="H180" s="209"/>
      <c r="J180" s="209"/>
    </row>
    <row r="181" spans="6:10">
      <c r="F181" s="225"/>
      <c r="H181" s="209"/>
      <c r="J181" s="209"/>
    </row>
    <row r="182" spans="6:10">
      <c r="F182" s="225"/>
      <c r="H182" s="209"/>
      <c r="J182" s="209"/>
    </row>
    <row r="183" spans="6:10">
      <c r="F183" s="225"/>
      <c r="H183" s="209"/>
      <c r="J183" s="209"/>
    </row>
    <row r="184" spans="6:10">
      <c r="F184" s="225"/>
      <c r="H184" s="209"/>
      <c r="J184" s="209"/>
    </row>
    <row r="185" spans="6:10">
      <c r="F185" s="225"/>
      <c r="H185" s="209"/>
      <c r="J185" s="209"/>
    </row>
    <row r="186" spans="6:10">
      <c r="F186" s="225"/>
      <c r="H186" s="209"/>
      <c r="J186" s="209"/>
    </row>
    <row r="187" spans="6:10">
      <c r="F187" s="225"/>
      <c r="H187" s="209"/>
      <c r="J187" s="209"/>
    </row>
    <row r="188" spans="6:10">
      <c r="F188" s="225"/>
      <c r="H188" s="209"/>
      <c r="J188" s="209"/>
    </row>
    <row r="189" spans="6:10">
      <c r="F189" s="225"/>
      <c r="H189" s="209"/>
      <c r="J189" s="209"/>
    </row>
    <row r="190" spans="6:10">
      <c r="F190" s="225"/>
      <c r="H190" s="209"/>
      <c r="J190" s="209"/>
    </row>
    <row r="191" spans="6:10">
      <c r="F191" s="225"/>
      <c r="H191" s="209"/>
      <c r="J191" s="209"/>
    </row>
    <row r="192" spans="6:10">
      <c r="F192" s="225"/>
      <c r="H192" s="209"/>
      <c r="J192" s="209"/>
    </row>
    <row r="193" spans="6:10">
      <c r="F193" s="225"/>
      <c r="H193" s="209"/>
      <c r="J193" s="209"/>
    </row>
    <row r="194" spans="6:10">
      <c r="F194" s="225"/>
      <c r="H194" s="209"/>
      <c r="J194" s="209"/>
    </row>
    <row r="195" spans="6:10">
      <c r="F195" s="225"/>
      <c r="H195" s="209"/>
      <c r="J195" s="209"/>
    </row>
    <row r="196" spans="6:10">
      <c r="F196" s="225"/>
      <c r="H196" s="209"/>
      <c r="J196" s="209"/>
    </row>
    <row r="197" spans="6:10">
      <c r="F197" s="225"/>
      <c r="H197" s="209"/>
      <c r="J197" s="209"/>
    </row>
    <row r="198" spans="6:10">
      <c r="F198" s="225"/>
      <c r="H198" s="209"/>
      <c r="J198" s="209"/>
    </row>
    <row r="199" spans="6:10">
      <c r="F199" s="225"/>
      <c r="H199" s="209"/>
      <c r="J199" s="209"/>
    </row>
    <row r="200" spans="6:10">
      <c r="F200" s="225"/>
      <c r="H200" s="209"/>
      <c r="J200" s="209"/>
    </row>
    <row r="201" spans="6:10">
      <c r="F201" s="225"/>
      <c r="H201" s="209"/>
      <c r="J201" s="209"/>
    </row>
    <row r="202" spans="6:10">
      <c r="F202" s="225"/>
      <c r="H202" s="209"/>
      <c r="J202" s="209"/>
    </row>
    <row r="203" spans="6:10">
      <c r="F203" s="225"/>
      <c r="H203" s="209"/>
      <c r="J203" s="209"/>
    </row>
    <row r="204" spans="6:10">
      <c r="F204" s="225"/>
      <c r="H204" s="209"/>
      <c r="J204" s="209"/>
    </row>
    <row r="205" spans="6:10">
      <c r="F205" s="225"/>
      <c r="H205" s="209"/>
      <c r="J205" s="209"/>
    </row>
    <row r="206" spans="6:10">
      <c r="F206" s="225"/>
      <c r="H206" s="209"/>
      <c r="J206" s="209"/>
    </row>
    <row r="207" spans="6:10">
      <c r="F207" s="225"/>
      <c r="H207" s="209"/>
      <c r="J207" s="209"/>
    </row>
    <row r="208" spans="6:10">
      <c r="F208" s="225"/>
      <c r="H208" s="209"/>
      <c r="J208" s="209"/>
    </row>
    <row r="209" spans="6:10">
      <c r="F209" s="225"/>
      <c r="H209" s="209"/>
      <c r="J209" s="209"/>
    </row>
    <row r="210" spans="6:10">
      <c r="F210" s="225"/>
      <c r="H210" s="209"/>
      <c r="J210" s="209"/>
    </row>
    <row r="211" spans="6:10">
      <c r="F211" s="225"/>
      <c r="H211" s="209"/>
      <c r="J211" s="209"/>
    </row>
    <row r="212" spans="6:10">
      <c r="F212" s="225"/>
      <c r="H212" s="209"/>
      <c r="J212" s="209"/>
    </row>
    <row r="213" spans="6:10">
      <c r="F213" s="225"/>
      <c r="H213" s="209"/>
      <c r="J213" s="209"/>
    </row>
    <row r="214" spans="6:10">
      <c r="F214" s="225"/>
      <c r="H214" s="209"/>
      <c r="J214" s="209"/>
    </row>
    <row r="215" spans="6:10">
      <c r="F215" s="225"/>
      <c r="H215" s="209"/>
      <c r="J215" s="209"/>
    </row>
    <row r="216" spans="6:10">
      <c r="F216" s="225"/>
      <c r="H216" s="209"/>
      <c r="J216" s="209"/>
    </row>
    <row r="217" spans="6:10">
      <c r="F217" s="225"/>
      <c r="H217" s="209"/>
      <c r="J217" s="209"/>
    </row>
    <row r="218" spans="6:10">
      <c r="F218" s="225"/>
      <c r="H218" s="209"/>
      <c r="J218" s="209"/>
    </row>
    <row r="219" spans="6:10">
      <c r="F219" s="225"/>
      <c r="H219" s="209"/>
      <c r="J219" s="209"/>
    </row>
    <row r="220" spans="6:10">
      <c r="F220" s="225"/>
      <c r="H220" s="209"/>
      <c r="J220" s="209"/>
    </row>
    <row r="221" spans="6:10">
      <c r="F221" s="225"/>
      <c r="H221" s="209"/>
      <c r="J221" s="209"/>
    </row>
    <row r="222" spans="6:10">
      <c r="F222" s="225"/>
      <c r="H222" s="209"/>
      <c r="J222" s="209"/>
    </row>
    <row r="223" spans="6:10">
      <c r="F223" s="225"/>
      <c r="H223" s="209"/>
      <c r="J223" s="209"/>
    </row>
    <row r="224" spans="6:10">
      <c r="F224" s="225"/>
      <c r="H224" s="209"/>
      <c r="J224" s="209"/>
    </row>
    <row r="225" spans="6:10">
      <c r="F225" s="225"/>
      <c r="H225" s="209"/>
      <c r="J225" s="209"/>
    </row>
    <row r="226" spans="6:10">
      <c r="F226" s="225"/>
      <c r="H226" s="209"/>
      <c r="J226" s="209"/>
    </row>
    <row r="227" spans="6:10">
      <c r="F227" s="225"/>
      <c r="H227" s="209"/>
      <c r="J227" s="209"/>
    </row>
    <row r="228" spans="6:10">
      <c r="F228" s="225"/>
      <c r="H228" s="209"/>
      <c r="J228" s="209"/>
    </row>
    <row r="229" spans="6:10">
      <c r="F229" s="225"/>
      <c r="H229" s="209"/>
      <c r="J229" s="209"/>
    </row>
    <row r="230" spans="6:10">
      <c r="F230" s="225"/>
      <c r="H230" s="209"/>
      <c r="J230" s="209"/>
    </row>
    <row r="231" spans="6:10">
      <c r="F231" s="225"/>
      <c r="H231" s="209"/>
      <c r="J231" s="209"/>
    </row>
    <row r="232" spans="6:10">
      <c r="F232" s="225"/>
      <c r="H232" s="209"/>
      <c r="J232" s="209"/>
    </row>
    <row r="233" spans="6:10">
      <c r="F233" s="225"/>
      <c r="H233" s="209"/>
      <c r="J233" s="209"/>
    </row>
    <row r="234" spans="6:10">
      <c r="F234" s="225"/>
      <c r="H234" s="209"/>
      <c r="J234" s="209"/>
    </row>
    <row r="235" spans="6:10">
      <c r="F235" s="225"/>
      <c r="H235" s="209"/>
      <c r="J235" s="209"/>
    </row>
    <row r="236" spans="6:10">
      <c r="F236" s="225"/>
      <c r="H236" s="209"/>
      <c r="J236" s="209"/>
    </row>
    <row r="237" spans="6:10">
      <c r="F237" s="225"/>
      <c r="H237" s="209"/>
      <c r="J237" s="209"/>
    </row>
    <row r="238" spans="6:10">
      <c r="F238" s="225"/>
      <c r="H238" s="209"/>
      <c r="J238" s="209"/>
    </row>
    <row r="239" spans="6:10">
      <c r="F239" s="225"/>
      <c r="H239" s="209"/>
      <c r="J239" s="209"/>
    </row>
    <row r="240" spans="6:10">
      <c r="F240" s="225"/>
      <c r="H240" s="209"/>
      <c r="J240" s="209"/>
    </row>
    <row r="241" spans="6:10">
      <c r="F241" s="225"/>
      <c r="H241" s="209"/>
      <c r="J241" s="209"/>
    </row>
    <row r="242" spans="6:10">
      <c r="F242" s="225"/>
      <c r="H242" s="209"/>
      <c r="J242" s="209"/>
    </row>
    <row r="243" spans="6:10">
      <c r="F243" s="225"/>
      <c r="H243" s="209"/>
      <c r="J243" s="209"/>
    </row>
    <row r="244" spans="6:10">
      <c r="F244" s="225"/>
      <c r="H244" s="209"/>
      <c r="J244" s="209"/>
    </row>
    <row r="245" spans="6:10">
      <c r="F245" s="225"/>
      <c r="H245" s="209"/>
      <c r="J245" s="209"/>
    </row>
    <row r="246" spans="6:10">
      <c r="F246" s="225"/>
      <c r="H246" s="209"/>
      <c r="J246" s="209"/>
    </row>
    <row r="247" spans="6:10">
      <c r="F247" s="225"/>
      <c r="H247" s="209"/>
      <c r="J247" s="209"/>
    </row>
    <row r="248" spans="6:10">
      <c r="F248" s="225"/>
      <c r="H248" s="209"/>
      <c r="J248" s="209"/>
    </row>
    <row r="249" spans="6:10">
      <c r="F249" s="225"/>
      <c r="H249" s="209"/>
      <c r="J249" s="209"/>
    </row>
    <row r="250" spans="6:10">
      <c r="F250" s="225"/>
      <c r="H250" s="209"/>
      <c r="J250" s="209"/>
    </row>
    <row r="251" spans="6:10">
      <c r="F251" s="225"/>
      <c r="H251" s="209"/>
      <c r="J251" s="209"/>
    </row>
    <row r="252" spans="6:10">
      <c r="F252" s="225"/>
      <c r="H252" s="209"/>
      <c r="J252" s="209"/>
    </row>
    <row r="253" spans="6:10">
      <c r="F253" s="225"/>
      <c r="H253" s="209"/>
      <c r="J253" s="209"/>
    </row>
    <row r="254" spans="6:10">
      <c r="F254" s="225"/>
      <c r="H254" s="209"/>
      <c r="J254" s="209"/>
    </row>
    <row r="255" spans="6:10">
      <c r="F255" s="225"/>
      <c r="H255" s="209"/>
      <c r="J255" s="209"/>
    </row>
    <row r="256" spans="6:10">
      <c r="F256" s="225"/>
      <c r="H256" s="209"/>
      <c r="J256" s="209"/>
    </row>
    <row r="257" spans="6:10">
      <c r="F257" s="225"/>
      <c r="H257" s="209"/>
      <c r="J257" s="209"/>
    </row>
    <row r="258" spans="6:10">
      <c r="F258" s="225"/>
      <c r="H258" s="209"/>
      <c r="J258" s="209"/>
    </row>
    <row r="259" spans="6:10">
      <c r="F259" s="225"/>
      <c r="H259" s="209"/>
      <c r="J259" s="209"/>
    </row>
    <row r="260" spans="6:10">
      <c r="F260" s="225"/>
      <c r="H260" s="209"/>
      <c r="J260" s="209"/>
    </row>
    <row r="261" spans="6:10">
      <c r="F261" s="225"/>
      <c r="H261" s="209"/>
      <c r="J261" s="209"/>
    </row>
    <row r="262" spans="6:10">
      <c r="F262" s="225"/>
      <c r="H262" s="209"/>
      <c r="J262" s="209"/>
    </row>
    <row r="263" spans="6:10">
      <c r="F263" s="225"/>
      <c r="H263" s="209"/>
      <c r="J263" s="209"/>
    </row>
    <row r="264" spans="6:10">
      <c r="F264" s="225"/>
      <c r="H264" s="209"/>
      <c r="J264" s="209"/>
    </row>
    <row r="265" spans="6:10">
      <c r="F265" s="225"/>
      <c r="H265" s="209"/>
      <c r="J265" s="209"/>
    </row>
    <row r="266" spans="6:10">
      <c r="F266" s="225"/>
      <c r="H266" s="209"/>
      <c r="J266" s="209"/>
    </row>
    <row r="267" spans="6:10">
      <c r="F267" s="225"/>
      <c r="H267" s="209"/>
      <c r="J267" s="209"/>
    </row>
    <row r="268" spans="6:10">
      <c r="F268" s="225"/>
      <c r="H268" s="209"/>
      <c r="J268" s="209"/>
    </row>
    <row r="269" spans="6:10">
      <c r="F269" s="225"/>
      <c r="H269" s="209"/>
      <c r="J269" s="209"/>
    </row>
    <row r="270" spans="6:10">
      <c r="F270" s="225"/>
      <c r="H270" s="209"/>
      <c r="J270" s="209"/>
    </row>
    <row r="271" spans="6:10">
      <c r="F271" s="225"/>
      <c r="H271" s="209"/>
      <c r="J271" s="209"/>
    </row>
    <row r="272" spans="6:10">
      <c r="F272" s="225"/>
      <c r="H272" s="209"/>
      <c r="J272" s="209"/>
    </row>
    <row r="273" spans="6:10">
      <c r="F273" s="225"/>
      <c r="H273" s="209"/>
      <c r="J273" s="209"/>
    </row>
    <row r="274" spans="6:10">
      <c r="F274" s="225"/>
      <c r="H274" s="209"/>
      <c r="J274" s="209"/>
    </row>
    <row r="275" spans="6:10">
      <c r="F275" s="225"/>
      <c r="H275" s="209"/>
      <c r="J275" s="209"/>
    </row>
    <row r="276" spans="6:10">
      <c r="F276" s="225"/>
      <c r="H276" s="209"/>
      <c r="J276" s="209"/>
    </row>
    <row r="277" spans="6:10">
      <c r="F277" s="225"/>
      <c r="H277" s="209"/>
      <c r="J277" s="209"/>
    </row>
    <row r="278" spans="6:10">
      <c r="F278" s="225"/>
      <c r="H278" s="209"/>
      <c r="J278" s="209"/>
    </row>
    <row r="279" spans="6:10">
      <c r="F279" s="225"/>
      <c r="H279" s="209"/>
      <c r="J279" s="209"/>
    </row>
    <row r="280" spans="6:10">
      <c r="F280" s="225"/>
      <c r="H280" s="209"/>
      <c r="J280" s="209"/>
    </row>
    <row r="281" spans="6:10">
      <c r="F281" s="225"/>
      <c r="H281" s="209"/>
      <c r="J281" s="209"/>
    </row>
    <row r="282" spans="6:10">
      <c r="F282" s="225"/>
      <c r="H282" s="209"/>
      <c r="J282" s="209"/>
    </row>
    <row r="283" spans="6:10">
      <c r="F283" s="225"/>
      <c r="H283" s="209"/>
      <c r="J283" s="209"/>
    </row>
    <row r="284" spans="6:10">
      <c r="F284" s="225"/>
      <c r="H284" s="209"/>
      <c r="J284" s="209"/>
    </row>
    <row r="285" spans="6:10">
      <c r="F285" s="225"/>
      <c r="H285" s="209"/>
      <c r="J285" s="209"/>
    </row>
    <row r="286" spans="6:10">
      <c r="F286" s="225"/>
      <c r="H286" s="209"/>
      <c r="J286" s="209"/>
    </row>
    <row r="287" spans="6:10">
      <c r="F287" s="225"/>
      <c r="H287" s="209"/>
      <c r="J287" s="209"/>
    </row>
    <row r="288" spans="6:10">
      <c r="F288" s="225"/>
      <c r="H288" s="209"/>
      <c r="J288" s="209"/>
    </row>
    <row r="289" spans="6:10">
      <c r="F289" s="225"/>
      <c r="H289" s="209"/>
      <c r="J289" s="209"/>
    </row>
    <row r="290" spans="6:10">
      <c r="F290" s="225"/>
      <c r="H290" s="209"/>
      <c r="J290" s="209"/>
    </row>
    <row r="291" spans="6:10">
      <c r="F291" s="225"/>
      <c r="H291" s="209"/>
      <c r="J291" s="209"/>
    </row>
    <row r="292" spans="6:10">
      <c r="F292" s="225"/>
      <c r="H292" s="209"/>
      <c r="J292" s="209"/>
    </row>
    <row r="293" spans="6:10">
      <c r="F293" s="225"/>
      <c r="H293" s="209"/>
      <c r="J293" s="209"/>
    </row>
    <row r="294" spans="6:10">
      <c r="F294" s="225"/>
      <c r="H294" s="209"/>
      <c r="J294" s="209"/>
    </row>
    <row r="295" spans="6:10">
      <c r="F295" s="225"/>
      <c r="H295" s="209"/>
      <c r="J295" s="209"/>
    </row>
    <row r="296" spans="6:10">
      <c r="F296" s="225"/>
      <c r="H296" s="209"/>
      <c r="J296" s="209"/>
    </row>
    <row r="297" spans="6:10">
      <c r="F297" s="225"/>
      <c r="H297" s="209"/>
      <c r="J297" s="209"/>
    </row>
    <row r="298" spans="6:10">
      <c r="F298" s="225"/>
      <c r="H298" s="209"/>
      <c r="J298" s="209"/>
    </row>
    <row r="299" spans="6:10">
      <c r="F299" s="225"/>
      <c r="H299" s="209"/>
      <c r="J299" s="209"/>
    </row>
    <row r="300" spans="6:10">
      <c r="F300" s="225"/>
      <c r="H300" s="209"/>
      <c r="J300" s="209"/>
    </row>
    <row r="301" spans="6:10">
      <c r="F301" s="225"/>
      <c r="H301" s="209"/>
      <c r="J301" s="209"/>
    </row>
    <row r="302" spans="6:10">
      <c r="F302" s="225"/>
      <c r="H302" s="209"/>
      <c r="J302" s="209"/>
    </row>
    <row r="303" spans="6:10">
      <c r="F303" s="225"/>
      <c r="H303" s="209"/>
      <c r="J303" s="209"/>
    </row>
    <row r="304" spans="6:10">
      <c r="F304" s="225"/>
      <c r="H304" s="209"/>
      <c r="J304" s="209"/>
    </row>
    <row r="305" spans="6:10">
      <c r="F305" s="225"/>
      <c r="H305" s="209"/>
      <c r="J305" s="209"/>
    </row>
    <row r="306" spans="6:10">
      <c r="F306" s="225"/>
      <c r="H306" s="209"/>
      <c r="J306" s="209"/>
    </row>
    <row r="307" spans="6:10">
      <c r="F307" s="225"/>
      <c r="H307" s="209"/>
      <c r="J307" s="209"/>
    </row>
    <row r="308" spans="6:10">
      <c r="F308" s="225"/>
      <c r="H308" s="209"/>
      <c r="J308" s="209"/>
    </row>
    <row r="309" spans="6:10">
      <c r="F309" s="225"/>
      <c r="H309" s="209"/>
      <c r="J309" s="209"/>
    </row>
    <row r="310" spans="6:10">
      <c r="F310" s="225"/>
      <c r="H310" s="209"/>
      <c r="J310" s="209"/>
    </row>
    <row r="311" spans="6:10">
      <c r="F311" s="225"/>
      <c r="H311" s="209"/>
      <c r="J311" s="209"/>
    </row>
    <row r="312" spans="6:10">
      <c r="F312" s="225"/>
      <c r="H312" s="209"/>
      <c r="J312" s="209"/>
    </row>
    <row r="313" spans="6:10">
      <c r="F313" s="225"/>
      <c r="H313" s="209"/>
      <c r="J313" s="209"/>
    </row>
    <row r="314" spans="6:10">
      <c r="F314" s="225"/>
      <c r="H314" s="209"/>
      <c r="J314" s="209"/>
    </row>
    <row r="315" spans="6:10">
      <c r="F315" s="225"/>
      <c r="H315" s="209"/>
      <c r="J315" s="209"/>
    </row>
    <row r="316" spans="6:10">
      <c r="F316" s="225"/>
      <c r="H316" s="209"/>
      <c r="J316" s="209"/>
    </row>
    <row r="317" spans="6:10">
      <c r="F317" s="225"/>
      <c r="H317" s="209"/>
      <c r="J317" s="209"/>
    </row>
    <row r="318" spans="6:10">
      <c r="F318" s="225"/>
      <c r="H318" s="209"/>
      <c r="J318" s="209"/>
    </row>
    <row r="319" spans="6:10">
      <c r="F319" s="225"/>
      <c r="H319" s="209"/>
      <c r="J319" s="209"/>
    </row>
    <row r="320" spans="6:10">
      <c r="F320" s="225"/>
      <c r="H320" s="209"/>
      <c r="J320" s="209"/>
    </row>
    <row r="321" spans="6:10">
      <c r="F321" s="225"/>
      <c r="H321" s="209"/>
      <c r="J321" s="209"/>
    </row>
    <row r="322" spans="6:10">
      <c r="F322" s="225"/>
      <c r="H322" s="209"/>
      <c r="J322" s="209"/>
    </row>
    <row r="323" spans="6:10">
      <c r="F323" s="225"/>
      <c r="H323" s="209"/>
      <c r="J323" s="209"/>
    </row>
    <row r="324" spans="6:10">
      <c r="F324" s="225"/>
      <c r="H324" s="209"/>
      <c r="J324" s="209"/>
    </row>
    <row r="325" spans="6:10">
      <c r="F325" s="225"/>
      <c r="H325" s="209"/>
      <c r="J325" s="209"/>
    </row>
    <row r="326" spans="6:10">
      <c r="F326" s="225"/>
      <c r="H326" s="209"/>
      <c r="J326" s="209"/>
    </row>
    <row r="327" spans="6:10">
      <c r="F327" s="225"/>
      <c r="H327" s="209"/>
      <c r="J327" s="209"/>
    </row>
    <row r="328" spans="6:10">
      <c r="F328" s="225"/>
      <c r="H328" s="209"/>
      <c r="J328" s="209"/>
    </row>
    <row r="329" spans="6:10">
      <c r="F329" s="225"/>
      <c r="H329" s="209"/>
      <c r="J329" s="209"/>
    </row>
    <row r="330" spans="6:10">
      <c r="F330" s="225"/>
      <c r="H330" s="209"/>
      <c r="J330" s="209"/>
    </row>
    <row r="331" spans="6:10">
      <c r="F331" s="225"/>
      <c r="H331" s="209"/>
      <c r="J331" s="209"/>
    </row>
    <row r="332" spans="6:10">
      <c r="F332" s="225"/>
      <c r="H332" s="209"/>
      <c r="J332" s="209"/>
    </row>
    <row r="333" spans="6:10">
      <c r="F333" s="225"/>
      <c r="H333" s="209"/>
      <c r="J333" s="209"/>
    </row>
    <row r="334" spans="6:10">
      <c r="F334" s="225"/>
      <c r="H334" s="209"/>
      <c r="J334" s="209"/>
    </row>
    <row r="335" spans="6:10">
      <c r="F335" s="225"/>
      <c r="H335" s="209"/>
      <c r="J335" s="209"/>
    </row>
    <row r="336" spans="6:10">
      <c r="F336" s="225"/>
      <c r="H336" s="209"/>
      <c r="J336" s="209"/>
    </row>
    <row r="337" spans="6:10">
      <c r="F337" s="225"/>
      <c r="H337" s="209"/>
      <c r="J337" s="209"/>
    </row>
    <row r="338" spans="6:10">
      <c r="F338" s="225"/>
      <c r="H338" s="209"/>
      <c r="J338" s="209"/>
    </row>
    <row r="339" spans="6:10">
      <c r="F339" s="225"/>
      <c r="H339" s="209"/>
      <c r="J339" s="209"/>
    </row>
    <row r="340" spans="6:10">
      <c r="F340" s="225"/>
      <c r="H340" s="209"/>
      <c r="J340" s="209"/>
    </row>
    <row r="341" spans="6:10">
      <c r="F341" s="225"/>
      <c r="H341" s="209"/>
      <c r="J341" s="209"/>
    </row>
    <row r="342" spans="6:10">
      <c r="F342" s="225"/>
      <c r="H342" s="209"/>
      <c r="J342" s="209"/>
    </row>
    <row r="343" spans="6:10">
      <c r="F343" s="225"/>
      <c r="H343" s="209"/>
      <c r="J343" s="209"/>
    </row>
    <row r="344" spans="6:10">
      <c r="F344" s="225"/>
      <c r="H344" s="209"/>
      <c r="J344" s="209"/>
    </row>
    <row r="345" spans="6:10">
      <c r="F345" s="225"/>
      <c r="H345" s="209"/>
      <c r="J345" s="209"/>
    </row>
    <row r="346" spans="6:10">
      <c r="F346" s="225"/>
      <c r="H346" s="209"/>
      <c r="J346" s="209"/>
    </row>
    <row r="347" spans="6:10">
      <c r="F347" s="225"/>
      <c r="H347" s="209"/>
      <c r="J347" s="209"/>
    </row>
    <row r="348" spans="6:10">
      <c r="F348" s="225"/>
      <c r="H348" s="209"/>
      <c r="J348" s="209"/>
    </row>
    <row r="349" spans="6:10">
      <c r="F349" s="225"/>
      <c r="H349" s="209"/>
      <c r="J349" s="209"/>
    </row>
    <row r="350" spans="6:10">
      <c r="F350" s="225"/>
      <c r="H350" s="209"/>
      <c r="J350" s="209"/>
    </row>
    <row r="351" spans="6:10">
      <c r="F351" s="225"/>
      <c r="H351" s="209"/>
      <c r="J351" s="209"/>
    </row>
    <row r="352" spans="6:10">
      <c r="F352" s="225"/>
      <c r="H352" s="209"/>
      <c r="J352" s="209"/>
    </row>
    <row r="353" spans="6:10">
      <c r="F353" s="225"/>
      <c r="H353" s="209"/>
      <c r="J353" s="209"/>
    </row>
    <row r="354" spans="6:10">
      <c r="F354" s="225"/>
      <c r="H354" s="209"/>
      <c r="J354" s="209"/>
    </row>
    <row r="355" spans="6:10">
      <c r="F355" s="225"/>
      <c r="H355" s="209"/>
      <c r="J355" s="209"/>
    </row>
    <row r="356" spans="6:10">
      <c r="F356" s="225"/>
      <c r="H356" s="209"/>
      <c r="J356" s="209"/>
    </row>
    <row r="357" spans="6:10">
      <c r="F357" s="225"/>
      <c r="H357" s="209"/>
      <c r="J357" s="209"/>
    </row>
    <row r="358" spans="6:10">
      <c r="F358" s="225"/>
      <c r="H358" s="209"/>
      <c r="J358" s="209"/>
    </row>
    <row r="359" spans="6:10">
      <c r="F359" s="225"/>
      <c r="H359" s="209"/>
      <c r="J359" s="209"/>
    </row>
    <row r="360" spans="6:10">
      <c r="F360" s="225"/>
      <c r="H360" s="209"/>
      <c r="J360" s="209"/>
    </row>
    <row r="361" spans="6:10">
      <c r="F361" s="225"/>
      <c r="H361" s="209"/>
      <c r="J361" s="209"/>
    </row>
    <row r="362" spans="6:10">
      <c r="F362" s="225"/>
      <c r="H362" s="209"/>
      <c r="J362" s="209"/>
    </row>
    <row r="363" spans="6:10">
      <c r="F363" s="225"/>
      <c r="H363" s="209"/>
      <c r="J363" s="209"/>
    </row>
    <row r="364" spans="6:10">
      <c r="F364" s="225"/>
      <c r="H364" s="209"/>
      <c r="J364" s="209"/>
    </row>
    <row r="365" spans="6:10">
      <c r="F365" s="225"/>
      <c r="H365" s="209"/>
      <c r="J365" s="209"/>
    </row>
    <row r="366" spans="6:10">
      <c r="F366" s="225"/>
      <c r="H366" s="209"/>
      <c r="J366" s="209"/>
    </row>
    <row r="367" spans="6:10">
      <c r="F367" s="225"/>
      <c r="H367" s="209"/>
      <c r="J367" s="209"/>
    </row>
    <row r="368" spans="6:10">
      <c r="F368" s="225"/>
      <c r="H368" s="209"/>
      <c r="J368" s="209"/>
    </row>
    <row r="369" spans="6:10">
      <c r="F369" s="225"/>
      <c r="H369" s="209"/>
      <c r="J369" s="209"/>
    </row>
    <row r="370" spans="6:10">
      <c r="F370" s="225"/>
      <c r="H370" s="209"/>
      <c r="J370" s="209"/>
    </row>
    <row r="371" spans="6:10">
      <c r="F371" s="225"/>
      <c r="H371" s="209"/>
      <c r="J371" s="209"/>
    </row>
    <row r="372" spans="6:10">
      <c r="F372" s="225"/>
      <c r="H372" s="209"/>
      <c r="J372" s="209"/>
    </row>
    <row r="373" spans="6:10">
      <c r="F373" s="225"/>
      <c r="H373" s="209"/>
      <c r="J373" s="209"/>
    </row>
    <row r="374" spans="6:10">
      <c r="F374" s="225"/>
      <c r="H374" s="209"/>
      <c r="J374" s="209"/>
    </row>
    <row r="375" spans="6:10">
      <c r="F375" s="225"/>
      <c r="H375" s="209"/>
      <c r="J375" s="209"/>
    </row>
    <row r="376" spans="6:10">
      <c r="F376" s="225"/>
      <c r="H376" s="209"/>
      <c r="J376" s="209"/>
    </row>
    <row r="377" spans="6:10">
      <c r="F377" s="225"/>
      <c r="H377" s="209"/>
      <c r="J377" s="209"/>
    </row>
    <row r="378" spans="6:10">
      <c r="F378" s="225"/>
      <c r="H378" s="209"/>
      <c r="J378" s="209"/>
    </row>
    <row r="379" spans="6:10">
      <c r="F379" s="225"/>
      <c r="H379" s="209"/>
      <c r="J379" s="209"/>
    </row>
    <row r="380" spans="6:10">
      <c r="F380" s="225"/>
      <c r="H380" s="209"/>
      <c r="J380" s="209"/>
    </row>
    <row r="381" spans="6:10">
      <c r="F381" s="225"/>
      <c r="H381" s="209"/>
      <c r="J381" s="209"/>
    </row>
    <row r="382" spans="6:10">
      <c r="F382" s="225"/>
      <c r="H382" s="209"/>
      <c r="J382" s="209"/>
    </row>
    <row r="383" spans="6:10">
      <c r="F383" s="225"/>
      <c r="H383" s="209"/>
      <c r="J383" s="209"/>
    </row>
    <row r="384" spans="6:10">
      <c r="F384" s="225"/>
      <c r="H384" s="209"/>
      <c r="J384" s="209"/>
    </row>
    <row r="385" spans="6:10">
      <c r="F385" s="225"/>
      <c r="H385" s="209"/>
      <c r="J385" s="209"/>
    </row>
    <row r="386" spans="6:10">
      <c r="F386" s="225"/>
      <c r="H386" s="209"/>
      <c r="J386" s="209"/>
    </row>
    <row r="387" spans="6:10">
      <c r="F387" s="225"/>
      <c r="H387" s="209"/>
      <c r="J387" s="209"/>
    </row>
    <row r="388" spans="6:10">
      <c r="F388" s="225"/>
      <c r="H388" s="209"/>
      <c r="J388" s="209"/>
    </row>
    <row r="389" spans="6:10">
      <c r="F389" s="225"/>
      <c r="H389" s="209"/>
      <c r="J389" s="209"/>
    </row>
    <row r="390" spans="6:10">
      <c r="F390" s="225"/>
      <c r="H390" s="209"/>
      <c r="J390" s="209"/>
    </row>
    <row r="391" spans="6:10">
      <c r="F391" s="225"/>
      <c r="H391" s="209"/>
      <c r="J391" s="209"/>
    </row>
    <row r="392" spans="6:10">
      <c r="F392" s="225"/>
      <c r="H392" s="209"/>
      <c r="J392" s="209"/>
    </row>
    <row r="393" spans="6:10">
      <c r="F393" s="225"/>
      <c r="H393" s="209"/>
      <c r="J393" s="209"/>
    </row>
    <row r="394" spans="6:10">
      <c r="F394" s="225"/>
      <c r="H394" s="209"/>
      <c r="J394" s="209"/>
    </row>
    <row r="395" spans="6:10">
      <c r="F395" s="225"/>
      <c r="H395" s="209"/>
      <c r="J395" s="209"/>
    </row>
    <row r="396" spans="6:10">
      <c r="F396" s="225"/>
      <c r="H396" s="209"/>
      <c r="J396" s="209"/>
    </row>
    <row r="397" spans="6:10">
      <c r="F397" s="225"/>
      <c r="H397" s="209"/>
      <c r="J397" s="209"/>
    </row>
    <row r="398" spans="6:10">
      <c r="F398" s="225"/>
      <c r="H398" s="209"/>
      <c r="J398" s="209"/>
    </row>
    <row r="399" spans="6:10">
      <c r="F399" s="225"/>
      <c r="H399" s="209"/>
      <c r="J399" s="209"/>
    </row>
    <row r="400" spans="6:10">
      <c r="F400" s="225"/>
      <c r="H400" s="209"/>
      <c r="J400" s="209"/>
    </row>
    <row r="401" spans="6:10">
      <c r="F401" s="225"/>
      <c r="H401" s="209"/>
      <c r="J401" s="209"/>
    </row>
    <row r="402" spans="6:10">
      <c r="F402" s="225"/>
      <c r="H402" s="209"/>
      <c r="J402" s="209"/>
    </row>
    <row r="403" spans="6:10">
      <c r="F403" s="225"/>
      <c r="H403" s="209"/>
      <c r="J403" s="209"/>
    </row>
    <row r="404" spans="6:10">
      <c r="F404" s="225"/>
      <c r="H404" s="209"/>
      <c r="J404" s="209"/>
    </row>
    <row r="405" spans="6:10">
      <c r="F405" s="225"/>
      <c r="H405" s="209"/>
      <c r="J405" s="209"/>
    </row>
    <row r="406" spans="6:10">
      <c r="F406" s="225"/>
      <c r="H406" s="209"/>
      <c r="J406" s="209"/>
    </row>
    <row r="407" spans="6:10">
      <c r="F407" s="225"/>
      <c r="H407" s="209"/>
      <c r="J407" s="209"/>
    </row>
    <row r="408" spans="6:10">
      <c r="F408" s="225"/>
      <c r="H408" s="209"/>
      <c r="J408" s="209"/>
    </row>
    <row r="409" spans="6:10">
      <c r="F409" s="225"/>
      <c r="H409" s="209"/>
      <c r="J409" s="209"/>
    </row>
    <row r="410" spans="6:10">
      <c r="F410" s="225"/>
      <c r="H410" s="209"/>
      <c r="J410" s="209"/>
    </row>
    <row r="411" spans="6:10">
      <c r="F411" s="225"/>
      <c r="H411" s="209"/>
      <c r="J411" s="209"/>
    </row>
    <row r="412" spans="6:10">
      <c r="F412" s="225"/>
      <c r="H412" s="209"/>
      <c r="J412" s="209"/>
    </row>
    <row r="413" spans="6:10">
      <c r="F413" s="225"/>
      <c r="H413" s="209"/>
      <c r="J413" s="209"/>
    </row>
    <row r="414" spans="6:10">
      <c r="F414" s="225"/>
      <c r="H414" s="209"/>
      <c r="J414" s="209"/>
    </row>
    <row r="415" spans="6:10">
      <c r="F415" s="225"/>
      <c r="H415" s="209"/>
      <c r="J415" s="209"/>
    </row>
    <row r="416" spans="6:10">
      <c r="F416" s="225"/>
      <c r="H416" s="209"/>
      <c r="J416" s="209"/>
    </row>
    <row r="417" spans="6:10">
      <c r="F417" s="225"/>
      <c r="H417" s="209"/>
      <c r="J417" s="209"/>
    </row>
    <row r="418" spans="6:10">
      <c r="F418" s="225"/>
      <c r="H418" s="209"/>
      <c r="J418" s="209"/>
    </row>
    <row r="419" spans="6:10">
      <c r="F419" s="225"/>
      <c r="H419" s="209"/>
      <c r="J419" s="209"/>
    </row>
    <row r="420" spans="6:10">
      <c r="F420" s="225"/>
      <c r="H420" s="209"/>
      <c r="J420" s="209"/>
    </row>
    <row r="421" spans="6:10">
      <c r="F421" s="225"/>
      <c r="H421" s="209"/>
      <c r="J421" s="209"/>
    </row>
    <row r="422" spans="6:10">
      <c r="F422" s="225"/>
      <c r="H422" s="209"/>
      <c r="J422" s="209"/>
    </row>
    <row r="423" spans="6:10">
      <c r="F423" s="225"/>
      <c r="H423" s="209"/>
      <c r="J423" s="209"/>
    </row>
    <row r="424" spans="6:10">
      <c r="F424" s="225"/>
      <c r="H424" s="209"/>
      <c r="J424" s="209"/>
    </row>
    <row r="425" spans="6:10">
      <c r="F425" s="225"/>
      <c r="H425" s="209"/>
      <c r="J425" s="209"/>
    </row>
    <row r="426" spans="6:10">
      <c r="F426" s="225"/>
      <c r="H426" s="209"/>
      <c r="J426" s="209"/>
    </row>
    <row r="427" spans="6:10">
      <c r="F427" s="225"/>
      <c r="H427" s="209"/>
      <c r="J427" s="209"/>
    </row>
    <row r="428" spans="6:10">
      <c r="F428" s="225"/>
      <c r="H428" s="209"/>
      <c r="J428" s="209"/>
    </row>
    <row r="429" spans="6:10">
      <c r="F429" s="225"/>
      <c r="H429" s="209"/>
      <c r="J429" s="209"/>
    </row>
    <row r="430" spans="6:10">
      <c r="F430" s="225"/>
      <c r="H430" s="209"/>
      <c r="J430" s="209"/>
    </row>
    <row r="431" spans="6:10">
      <c r="F431" s="225"/>
      <c r="H431" s="209"/>
      <c r="J431" s="209"/>
    </row>
    <row r="432" spans="6:10">
      <c r="F432" s="225"/>
      <c r="H432" s="209"/>
      <c r="J432" s="209"/>
    </row>
    <row r="433" spans="6:10">
      <c r="F433" s="225"/>
      <c r="H433" s="209"/>
      <c r="J433" s="209"/>
    </row>
    <row r="434" spans="6:10">
      <c r="F434" s="225"/>
      <c r="H434" s="209"/>
      <c r="J434" s="209"/>
    </row>
    <row r="435" spans="6:10">
      <c r="F435" s="225"/>
      <c r="H435" s="209"/>
      <c r="J435" s="209"/>
    </row>
    <row r="436" spans="6:10">
      <c r="F436" s="225"/>
      <c r="H436" s="209"/>
      <c r="J436" s="209"/>
    </row>
    <row r="437" spans="6:10">
      <c r="F437" s="225"/>
      <c r="H437" s="209"/>
      <c r="J437" s="209"/>
    </row>
    <row r="438" spans="6:10">
      <c r="F438" s="225"/>
      <c r="H438" s="209"/>
      <c r="J438" s="209"/>
    </row>
    <row r="439" spans="6:10">
      <c r="F439" s="225"/>
      <c r="H439" s="209"/>
      <c r="J439" s="209"/>
    </row>
    <row r="440" spans="6:10">
      <c r="F440" s="225"/>
      <c r="H440" s="209"/>
      <c r="J440" s="209"/>
    </row>
    <row r="441" spans="6:10">
      <c r="F441" s="225"/>
      <c r="H441" s="209"/>
      <c r="J441" s="209"/>
    </row>
    <row r="442" spans="6:10">
      <c r="F442" s="225"/>
      <c r="H442" s="209"/>
      <c r="J442" s="209"/>
    </row>
    <row r="443" spans="6:10">
      <c r="F443" s="225"/>
      <c r="H443" s="209"/>
      <c r="J443" s="209"/>
    </row>
    <row r="444" spans="6:10">
      <c r="F444" s="225"/>
      <c r="H444" s="209"/>
      <c r="J444" s="209"/>
    </row>
    <row r="445" spans="6:10">
      <c r="F445" s="225"/>
      <c r="H445" s="209"/>
      <c r="J445" s="209"/>
    </row>
    <row r="446" spans="6:10">
      <c r="F446" s="225"/>
      <c r="H446" s="209"/>
      <c r="J446" s="209"/>
    </row>
    <row r="447" spans="6:10">
      <c r="F447" s="225"/>
      <c r="H447" s="209"/>
      <c r="J447" s="209"/>
    </row>
    <row r="448" spans="6:10">
      <c r="F448" s="225"/>
      <c r="H448" s="209"/>
      <c r="J448" s="209"/>
    </row>
    <row r="449" spans="6:10">
      <c r="F449" s="225"/>
      <c r="H449" s="209"/>
      <c r="J449" s="209"/>
    </row>
    <row r="450" spans="6:10">
      <c r="F450" s="225"/>
      <c r="H450" s="209"/>
      <c r="J450" s="209"/>
    </row>
    <row r="451" spans="6:10">
      <c r="F451" s="225"/>
      <c r="H451" s="209"/>
      <c r="J451" s="209"/>
    </row>
    <row r="452" spans="6:10">
      <c r="F452" s="225"/>
      <c r="H452" s="209"/>
      <c r="J452" s="209"/>
    </row>
    <row r="453" spans="6:10">
      <c r="F453" s="225"/>
      <c r="H453" s="209"/>
      <c r="J453" s="209"/>
    </row>
    <row r="454" spans="6:10">
      <c r="F454" s="225"/>
      <c r="H454" s="209"/>
      <c r="J454" s="209"/>
    </row>
    <row r="455" spans="6:10">
      <c r="F455" s="225"/>
      <c r="H455" s="209"/>
      <c r="J455" s="209"/>
    </row>
    <row r="456" spans="6:10">
      <c r="F456" s="225"/>
      <c r="H456" s="209"/>
      <c r="J456" s="209"/>
    </row>
    <row r="457" spans="6:10">
      <c r="F457" s="225"/>
      <c r="H457" s="209"/>
      <c r="J457" s="209"/>
    </row>
    <row r="458" spans="6:10">
      <c r="F458" s="225"/>
      <c r="H458" s="209"/>
      <c r="J458" s="209"/>
    </row>
    <row r="459" spans="6:10">
      <c r="F459" s="225"/>
      <c r="H459" s="209"/>
      <c r="J459" s="209"/>
    </row>
    <row r="460" spans="6:10">
      <c r="F460" s="225"/>
      <c r="H460" s="209"/>
      <c r="J460" s="209"/>
    </row>
    <row r="461" spans="6:10">
      <c r="F461" s="225"/>
      <c r="H461" s="209"/>
      <c r="J461" s="209"/>
    </row>
    <row r="462" spans="6:10">
      <c r="F462" s="225"/>
      <c r="H462" s="209"/>
      <c r="J462" s="209"/>
    </row>
    <row r="463" spans="6:10">
      <c r="F463" s="225"/>
      <c r="H463" s="209"/>
      <c r="J463" s="209"/>
    </row>
    <row r="464" spans="6:10">
      <c r="F464" s="225"/>
      <c r="H464" s="209"/>
      <c r="J464" s="209"/>
    </row>
    <row r="465" spans="6:10">
      <c r="F465" s="225"/>
      <c r="H465" s="209"/>
      <c r="J465" s="209"/>
    </row>
    <row r="466" spans="6:10">
      <c r="F466" s="225"/>
      <c r="H466" s="209"/>
      <c r="J466" s="209"/>
    </row>
    <row r="467" spans="6:10">
      <c r="F467" s="225"/>
      <c r="H467" s="209"/>
      <c r="J467" s="209"/>
    </row>
    <row r="468" spans="6:10">
      <c r="F468" s="225"/>
      <c r="H468" s="209"/>
      <c r="J468" s="209"/>
    </row>
    <row r="469" spans="6:10">
      <c r="F469" s="225"/>
      <c r="H469" s="209"/>
      <c r="J469" s="209"/>
    </row>
    <row r="470" spans="6:10">
      <c r="F470" s="225"/>
      <c r="H470" s="209"/>
      <c r="J470" s="209"/>
    </row>
    <row r="471" spans="6:10">
      <c r="F471" s="225"/>
      <c r="H471" s="209"/>
      <c r="J471" s="209"/>
    </row>
    <row r="472" spans="6:10">
      <c r="F472" s="225"/>
      <c r="H472" s="209"/>
      <c r="J472" s="209"/>
    </row>
    <row r="473" spans="6:10">
      <c r="F473" s="225"/>
      <c r="H473" s="209"/>
      <c r="J473" s="209"/>
    </row>
    <row r="474" spans="6:10">
      <c r="F474" s="225"/>
      <c r="H474" s="209"/>
      <c r="J474" s="209"/>
    </row>
    <row r="475" spans="6:10">
      <c r="F475" s="225"/>
      <c r="H475" s="209"/>
      <c r="J475" s="209"/>
    </row>
    <row r="476" spans="6:10">
      <c r="F476" s="225"/>
      <c r="H476" s="209"/>
      <c r="J476" s="209"/>
    </row>
    <row r="477" spans="6:10">
      <c r="F477" s="225"/>
      <c r="H477" s="209"/>
      <c r="J477" s="209"/>
    </row>
    <row r="478" spans="6:10">
      <c r="F478" s="225"/>
      <c r="H478" s="209"/>
      <c r="J478" s="209"/>
    </row>
    <row r="479" spans="6:10">
      <c r="F479" s="225"/>
      <c r="H479" s="209"/>
      <c r="J479" s="209"/>
    </row>
    <row r="480" spans="6:10">
      <c r="F480" s="225"/>
      <c r="H480" s="209"/>
      <c r="J480" s="209"/>
    </row>
    <row r="481" spans="6:10">
      <c r="F481" s="225"/>
      <c r="H481" s="209"/>
      <c r="J481" s="209"/>
    </row>
    <row r="482" spans="6:10">
      <c r="F482" s="225"/>
      <c r="H482" s="209"/>
      <c r="J482" s="209"/>
    </row>
    <row r="483" spans="6:10">
      <c r="F483" s="225"/>
      <c r="H483" s="209"/>
      <c r="J483" s="209"/>
    </row>
    <row r="484" spans="6:10">
      <c r="F484" s="225"/>
      <c r="H484" s="209"/>
      <c r="J484" s="209"/>
    </row>
    <row r="485" spans="6:10">
      <c r="F485" s="225"/>
      <c r="H485" s="209"/>
      <c r="J485" s="209"/>
    </row>
    <row r="486" spans="6:10">
      <c r="F486" s="225"/>
      <c r="H486" s="209"/>
      <c r="J486" s="209"/>
    </row>
    <row r="487" spans="6:10">
      <c r="F487" s="225"/>
      <c r="H487" s="209"/>
      <c r="J487" s="209"/>
    </row>
    <row r="488" spans="6:10">
      <c r="F488" s="225"/>
      <c r="H488" s="209"/>
      <c r="J488" s="209"/>
    </row>
    <row r="489" spans="6:10">
      <c r="F489" s="225"/>
      <c r="H489" s="209"/>
      <c r="J489" s="209"/>
    </row>
    <row r="490" spans="6:10">
      <c r="F490" s="225"/>
      <c r="H490" s="209"/>
      <c r="J490" s="209"/>
    </row>
    <row r="491" spans="6:10">
      <c r="F491" s="225"/>
      <c r="H491" s="209"/>
      <c r="J491" s="209"/>
    </row>
    <row r="492" spans="6:10">
      <c r="F492" s="225"/>
      <c r="H492" s="209"/>
      <c r="J492" s="209"/>
    </row>
    <row r="493" spans="6:10">
      <c r="F493" s="225"/>
      <c r="H493" s="209"/>
      <c r="J493" s="209"/>
    </row>
    <row r="494" spans="6:10">
      <c r="F494" s="225"/>
      <c r="H494" s="209"/>
      <c r="J494" s="209"/>
    </row>
    <row r="495" spans="6:10">
      <c r="F495" s="225"/>
      <c r="H495" s="209"/>
      <c r="J495" s="209"/>
    </row>
    <row r="496" spans="6:10">
      <c r="F496" s="225"/>
      <c r="H496" s="209"/>
      <c r="J496" s="209"/>
    </row>
    <row r="497" spans="6:10">
      <c r="F497" s="225"/>
      <c r="H497" s="209"/>
      <c r="J497" s="209"/>
    </row>
    <row r="498" spans="6:10">
      <c r="F498" s="225"/>
      <c r="H498" s="209"/>
      <c r="J498" s="209"/>
    </row>
    <row r="499" spans="6:10">
      <c r="F499" s="225"/>
      <c r="H499" s="209"/>
      <c r="J499" s="209"/>
    </row>
    <row r="500" spans="6:10">
      <c r="F500" s="225"/>
      <c r="H500" s="209"/>
      <c r="J500" s="209"/>
    </row>
    <row r="501" spans="6:10">
      <c r="F501" s="225"/>
      <c r="H501" s="209"/>
      <c r="J501" s="209"/>
    </row>
    <row r="502" spans="6:10">
      <c r="F502" s="225"/>
      <c r="H502" s="209"/>
      <c r="J502" s="209"/>
    </row>
    <row r="503" spans="6:10">
      <c r="F503" s="225"/>
      <c r="H503" s="209"/>
      <c r="J503" s="209"/>
    </row>
    <row r="504" spans="6:10">
      <c r="F504" s="225"/>
      <c r="H504" s="209"/>
      <c r="J504" s="209"/>
    </row>
    <row r="505" spans="6:10">
      <c r="F505" s="225"/>
      <c r="H505" s="209"/>
      <c r="J505" s="209"/>
    </row>
    <row r="506" spans="6:10">
      <c r="F506" s="225"/>
      <c r="H506" s="209"/>
      <c r="J506" s="209"/>
    </row>
    <row r="507" spans="6:10">
      <c r="F507" s="225"/>
      <c r="H507" s="209"/>
      <c r="J507" s="209"/>
    </row>
    <row r="508" spans="6:10">
      <c r="F508" s="225"/>
      <c r="H508" s="209"/>
      <c r="J508" s="209"/>
    </row>
    <row r="509" spans="6:10">
      <c r="F509" s="225"/>
      <c r="H509" s="209"/>
      <c r="J509" s="209"/>
    </row>
    <row r="510" spans="6:10">
      <c r="F510" s="225"/>
      <c r="H510" s="209"/>
      <c r="J510" s="209"/>
    </row>
    <row r="511" spans="6:10">
      <c r="F511" s="225"/>
      <c r="H511" s="209"/>
      <c r="J511" s="209"/>
    </row>
    <row r="512" spans="6:10">
      <c r="F512" s="225"/>
      <c r="H512" s="209"/>
      <c r="J512" s="209"/>
    </row>
    <row r="513" spans="6:10">
      <c r="F513" s="225"/>
      <c r="H513" s="209"/>
      <c r="J513" s="209"/>
    </row>
    <row r="514" spans="6:10">
      <c r="F514" s="225"/>
      <c r="H514" s="209"/>
      <c r="J514" s="209"/>
    </row>
    <row r="515" spans="6:10">
      <c r="F515" s="225"/>
      <c r="H515" s="209"/>
      <c r="J515" s="209"/>
    </row>
    <row r="516" spans="6:10">
      <c r="F516" s="225"/>
      <c r="H516" s="209"/>
      <c r="J516" s="209"/>
    </row>
    <row r="517" spans="6:10">
      <c r="F517" s="225"/>
      <c r="H517" s="209"/>
      <c r="J517" s="209"/>
    </row>
    <row r="518" spans="6:10">
      <c r="F518" s="225"/>
      <c r="H518" s="209"/>
      <c r="J518" s="209"/>
    </row>
    <row r="519" spans="6:10">
      <c r="F519" s="225"/>
      <c r="H519" s="209"/>
      <c r="J519" s="209"/>
    </row>
    <row r="520" spans="6:10">
      <c r="F520" s="225"/>
      <c r="H520" s="209"/>
      <c r="J520" s="209"/>
    </row>
    <row r="521" spans="6:10">
      <c r="F521" s="225"/>
      <c r="H521" s="209"/>
      <c r="J521" s="209"/>
    </row>
    <row r="522" spans="6:10">
      <c r="F522" s="225"/>
      <c r="H522" s="209"/>
      <c r="J522" s="209"/>
    </row>
    <row r="523" spans="6:10">
      <c r="F523" s="225"/>
      <c r="H523" s="209"/>
      <c r="J523" s="209"/>
    </row>
    <row r="524" spans="6:10">
      <c r="F524" s="225"/>
      <c r="H524" s="209"/>
      <c r="J524" s="209"/>
    </row>
    <row r="525" spans="6:10">
      <c r="F525" s="225"/>
      <c r="H525" s="209"/>
      <c r="J525" s="209"/>
    </row>
    <row r="526" spans="6:10">
      <c r="F526" s="225"/>
      <c r="H526" s="209"/>
      <c r="J526" s="209"/>
    </row>
    <row r="527" spans="6:10">
      <c r="F527" s="225"/>
      <c r="H527" s="209"/>
      <c r="J527" s="209"/>
    </row>
    <row r="528" spans="6:10">
      <c r="F528" s="225"/>
      <c r="H528" s="209"/>
      <c r="J528" s="209"/>
    </row>
    <row r="529" spans="6:10">
      <c r="F529" s="225"/>
      <c r="H529" s="209"/>
      <c r="J529" s="209"/>
    </row>
    <row r="530" spans="6:10">
      <c r="F530" s="225"/>
      <c r="H530" s="209"/>
      <c r="J530" s="209"/>
    </row>
    <row r="531" spans="6:10">
      <c r="F531" s="225"/>
      <c r="H531" s="209"/>
      <c r="J531" s="209"/>
    </row>
    <row r="532" spans="6:10">
      <c r="F532" s="225"/>
      <c r="H532" s="209"/>
      <c r="J532" s="209"/>
    </row>
    <row r="533" spans="6:10">
      <c r="F533" s="225"/>
      <c r="H533" s="209"/>
      <c r="J533" s="209"/>
    </row>
    <row r="534" spans="6:10">
      <c r="F534" s="225"/>
      <c r="H534" s="209"/>
      <c r="J534" s="209"/>
    </row>
    <row r="535" spans="6:10">
      <c r="F535" s="225"/>
      <c r="H535" s="209"/>
      <c r="J535" s="209"/>
    </row>
    <row r="536" spans="6:10">
      <c r="F536" s="225"/>
      <c r="H536" s="209"/>
      <c r="J536" s="209"/>
    </row>
    <row r="537" spans="6:10">
      <c r="F537" s="225"/>
      <c r="H537" s="209"/>
      <c r="J537" s="209"/>
    </row>
    <row r="538" spans="6:10">
      <c r="F538" s="225"/>
      <c r="H538" s="209"/>
      <c r="J538" s="209"/>
    </row>
    <row r="539" spans="6:10">
      <c r="F539" s="225"/>
      <c r="H539" s="209"/>
      <c r="J539" s="209"/>
    </row>
    <row r="540" spans="6:10">
      <c r="F540" s="225"/>
      <c r="H540" s="209"/>
      <c r="J540" s="209"/>
    </row>
    <row r="541" spans="6:10">
      <c r="F541" s="225"/>
      <c r="H541" s="209"/>
      <c r="J541" s="209"/>
    </row>
    <row r="542" spans="6:10">
      <c r="F542" s="225"/>
      <c r="H542" s="209"/>
      <c r="J542" s="209"/>
    </row>
    <row r="543" spans="6:10">
      <c r="F543" s="225"/>
      <c r="H543" s="209"/>
      <c r="J543" s="209"/>
    </row>
    <row r="544" spans="6:10">
      <c r="F544" s="225"/>
      <c r="H544" s="209"/>
      <c r="J544" s="209"/>
    </row>
    <row r="545" spans="6:10">
      <c r="F545" s="225"/>
      <c r="H545" s="209"/>
      <c r="J545" s="209"/>
    </row>
    <row r="546" spans="6:10">
      <c r="F546" s="225"/>
      <c r="H546" s="209"/>
      <c r="J546" s="209"/>
    </row>
    <row r="547" spans="6:10">
      <c r="F547" s="225"/>
      <c r="H547" s="209"/>
      <c r="J547" s="209"/>
    </row>
    <row r="548" spans="6:10">
      <c r="F548" s="225"/>
      <c r="H548" s="209"/>
      <c r="J548" s="209"/>
    </row>
    <row r="549" spans="6:10">
      <c r="F549" s="225"/>
      <c r="H549" s="209"/>
      <c r="J549" s="209"/>
    </row>
    <row r="550" spans="6:10">
      <c r="F550" s="225"/>
      <c r="H550" s="209"/>
      <c r="J550" s="209"/>
    </row>
    <row r="551" spans="6:10">
      <c r="F551" s="225"/>
      <c r="H551" s="209"/>
      <c r="J551" s="209"/>
    </row>
    <row r="552" spans="6:10">
      <c r="F552" s="225"/>
      <c r="H552" s="209"/>
      <c r="J552" s="209"/>
    </row>
    <row r="553" spans="6:10">
      <c r="F553" s="225"/>
      <c r="H553" s="209"/>
      <c r="J553" s="209"/>
    </row>
    <row r="554" spans="6:10">
      <c r="F554" s="225"/>
      <c r="H554" s="209"/>
      <c r="J554" s="209"/>
    </row>
    <row r="555" spans="6:10">
      <c r="F555" s="225"/>
      <c r="H555" s="209"/>
      <c r="J555" s="209"/>
    </row>
    <row r="556" spans="6:10">
      <c r="F556" s="225"/>
      <c r="H556" s="209"/>
      <c r="J556" s="209"/>
    </row>
    <row r="557" spans="6:10">
      <c r="F557" s="225"/>
      <c r="H557" s="209"/>
      <c r="J557" s="209"/>
    </row>
    <row r="558" spans="6:10">
      <c r="F558" s="225"/>
      <c r="H558" s="209"/>
      <c r="J558" s="209"/>
    </row>
    <row r="559" spans="6:10">
      <c r="F559" s="225"/>
      <c r="H559" s="209"/>
      <c r="J559" s="209"/>
    </row>
    <row r="560" spans="6:10">
      <c r="F560" s="225"/>
      <c r="H560" s="209"/>
      <c r="J560" s="209"/>
    </row>
    <row r="561" spans="6:10">
      <c r="F561" s="225"/>
      <c r="H561" s="209"/>
      <c r="J561" s="209"/>
    </row>
    <row r="562" spans="6:10">
      <c r="F562" s="225"/>
      <c r="H562" s="209"/>
      <c r="J562" s="209"/>
    </row>
    <row r="563" spans="6:10">
      <c r="F563" s="225"/>
      <c r="H563" s="209"/>
      <c r="J563" s="209"/>
    </row>
    <row r="564" spans="6:10">
      <c r="F564" s="225"/>
      <c r="H564" s="209"/>
      <c r="J564" s="209"/>
    </row>
    <row r="565" spans="6:10">
      <c r="F565" s="225"/>
      <c r="H565" s="209"/>
      <c r="J565" s="209"/>
    </row>
    <row r="566" spans="6:10">
      <c r="F566" s="225"/>
      <c r="H566" s="209"/>
      <c r="J566" s="209"/>
    </row>
    <row r="567" spans="6:10">
      <c r="F567" s="225"/>
      <c r="H567" s="209"/>
      <c r="J567" s="209"/>
    </row>
    <row r="568" spans="6:10">
      <c r="F568" s="225"/>
      <c r="H568" s="209"/>
      <c r="J568" s="209"/>
    </row>
    <row r="569" spans="6:10">
      <c r="F569" s="225"/>
      <c r="H569" s="209"/>
      <c r="J569" s="209"/>
    </row>
    <row r="570" spans="6:10">
      <c r="F570" s="225"/>
      <c r="H570" s="209"/>
      <c r="J570" s="209"/>
    </row>
    <row r="571" spans="6:10">
      <c r="F571" s="225"/>
      <c r="H571" s="209"/>
      <c r="J571" s="209"/>
    </row>
    <row r="572" spans="6:10">
      <c r="F572" s="225"/>
      <c r="H572" s="209"/>
      <c r="J572" s="209"/>
    </row>
    <row r="573" spans="6:10">
      <c r="F573" s="225"/>
      <c r="H573" s="209"/>
      <c r="J573" s="209"/>
    </row>
    <row r="574" spans="6:10">
      <c r="F574" s="225"/>
      <c r="H574" s="209"/>
      <c r="J574" s="209"/>
    </row>
    <row r="575" spans="6:10">
      <c r="F575" s="225"/>
      <c r="H575" s="209"/>
      <c r="J575" s="209"/>
    </row>
    <row r="576" spans="6:10">
      <c r="F576" s="225"/>
      <c r="H576" s="209"/>
      <c r="J576" s="209"/>
    </row>
    <row r="577" spans="6:10">
      <c r="F577" s="225"/>
      <c r="H577" s="209"/>
      <c r="J577" s="209"/>
    </row>
    <row r="578" spans="6:10">
      <c r="F578" s="225"/>
      <c r="H578" s="209"/>
      <c r="J578" s="209"/>
    </row>
    <row r="579" spans="6:10">
      <c r="F579" s="225"/>
      <c r="H579" s="209"/>
      <c r="J579" s="209"/>
    </row>
    <row r="580" spans="6:10">
      <c r="F580" s="225"/>
      <c r="H580" s="209"/>
      <c r="J580" s="209"/>
    </row>
    <row r="581" spans="6:10">
      <c r="F581" s="225"/>
      <c r="H581" s="209"/>
      <c r="J581" s="209"/>
    </row>
    <row r="582" spans="6:10">
      <c r="F582" s="225"/>
      <c r="H582" s="209"/>
      <c r="J582" s="209"/>
    </row>
    <row r="583" spans="6:10">
      <c r="F583" s="225"/>
      <c r="H583" s="209"/>
      <c r="J583" s="209"/>
    </row>
    <row r="584" spans="6:10">
      <c r="F584" s="225"/>
      <c r="H584" s="209"/>
      <c r="J584" s="209"/>
    </row>
    <row r="585" spans="6:10">
      <c r="F585" s="225"/>
      <c r="H585" s="209"/>
      <c r="J585" s="209"/>
    </row>
    <row r="586" spans="6:10">
      <c r="F586" s="225"/>
      <c r="H586" s="209"/>
      <c r="J586" s="209"/>
    </row>
    <row r="587" spans="6:10">
      <c r="F587" s="225"/>
      <c r="H587" s="209"/>
      <c r="J587" s="209"/>
    </row>
    <row r="588" spans="6:10">
      <c r="F588" s="225"/>
      <c r="H588" s="209"/>
      <c r="J588" s="209"/>
    </row>
    <row r="589" spans="6:10">
      <c r="F589" s="225"/>
      <c r="H589" s="209"/>
      <c r="J589" s="209"/>
    </row>
    <row r="590" spans="6:10">
      <c r="F590" s="225"/>
      <c r="H590" s="209"/>
      <c r="J590" s="209"/>
    </row>
    <row r="591" spans="6:10">
      <c r="F591" s="225"/>
      <c r="H591" s="209"/>
      <c r="J591" s="209"/>
    </row>
    <row r="592" spans="6:10">
      <c r="F592" s="225"/>
      <c r="H592" s="209"/>
      <c r="J592" s="209"/>
    </row>
    <row r="593" spans="6:10">
      <c r="F593" s="225"/>
      <c r="H593" s="209"/>
      <c r="J593" s="209"/>
    </row>
    <row r="594" spans="6:10">
      <c r="F594" s="225"/>
      <c r="H594" s="209"/>
      <c r="J594" s="209"/>
    </row>
    <row r="595" spans="6:10">
      <c r="F595" s="225"/>
      <c r="H595" s="209"/>
      <c r="J595" s="209"/>
    </row>
    <row r="596" spans="6:10">
      <c r="F596" s="225"/>
      <c r="H596" s="209"/>
      <c r="J596" s="209"/>
    </row>
    <row r="597" spans="6:10">
      <c r="F597" s="225"/>
      <c r="H597" s="209"/>
      <c r="J597" s="209"/>
    </row>
    <row r="598" spans="6:10">
      <c r="F598" s="225"/>
      <c r="H598" s="209"/>
      <c r="J598" s="209"/>
    </row>
    <row r="599" spans="6:10">
      <c r="F599" s="225"/>
      <c r="H599" s="209"/>
      <c r="J599" s="209"/>
    </row>
    <row r="600" spans="6:10">
      <c r="F600" s="225"/>
      <c r="H600" s="209"/>
      <c r="J600" s="209"/>
    </row>
    <row r="601" spans="6:10">
      <c r="F601" s="225"/>
      <c r="H601" s="209"/>
      <c r="J601" s="209"/>
    </row>
    <row r="602" spans="6:10">
      <c r="F602" s="225"/>
      <c r="H602" s="209"/>
      <c r="J602" s="209"/>
    </row>
    <row r="603" spans="6:10">
      <c r="F603" s="225"/>
      <c r="H603" s="209"/>
      <c r="J603" s="209"/>
    </row>
    <row r="604" spans="6:10">
      <c r="F604" s="225"/>
      <c r="H604" s="209"/>
      <c r="J604" s="209"/>
    </row>
    <row r="605" spans="6:10">
      <c r="F605" s="225"/>
      <c r="H605" s="209"/>
      <c r="J605" s="209"/>
    </row>
    <row r="606" spans="6:10">
      <c r="F606" s="225"/>
      <c r="H606" s="209"/>
      <c r="J606" s="209"/>
    </row>
    <row r="607" spans="6:10">
      <c r="F607" s="225"/>
      <c r="H607" s="209"/>
      <c r="J607" s="209"/>
    </row>
    <row r="608" spans="6:10">
      <c r="F608" s="225"/>
      <c r="H608" s="209"/>
      <c r="J608" s="209"/>
    </row>
    <row r="609" spans="6:10">
      <c r="F609" s="225"/>
      <c r="H609" s="209"/>
      <c r="J609" s="209"/>
    </row>
    <row r="610" spans="6:10">
      <c r="F610" s="225"/>
      <c r="H610" s="209"/>
      <c r="J610" s="209"/>
    </row>
    <row r="611" spans="6:10">
      <c r="F611" s="225"/>
      <c r="H611" s="209"/>
      <c r="J611" s="209"/>
    </row>
    <row r="612" spans="6:10">
      <c r="F612" s="225"/>
      <c r="H612" s="209"/>
      <c r="J612" s="209"/>
    </row>
    <row r="613" spans="6:10">
      <c r="F613" s="225"/>
      <c r="H613" s="209"/>
      <c r="J613" s="209"/>
    </row>
    <row r="614" spans="6:10">
      <c r="F614" s="225"/>
      <c r="H614" s="209"/>
      <c r="J614" s="209"/>
    </row>
    <row r="615" spans="6:10">
      <c r="F615" s="225"/>
      <c r="H615" s="209"/>
      <c r="J615" s="209"/>
    </row>
    <row r="616" spans="6:10">
      <c r="F616" s="225"/>
      <c r="H616" s="209"/>
      <c r="J616" s="209"/>
    </row>
    <row r="617" spans="6:10">
      <c r="F617" s="225"/>
      <c r="H617" s="209"/>
      <c r="J617" s="209"/>
    </row>
    <row r="618" spans="6:10">
      <c r="F618" s="225"/>
      <c r="H618" s="209"/>
      <c r="J618" s="209"/>
    </row>
    <row r="619" spans="6:10">
      <c r="F619" s="225"/>
      <c r="H619" s="209"/>
      <c r="J619" s="209"/>
    </row>
    <row r="620" spans="6:10">
      <c r="F620" s="225"/>
      <c r="H620" s="209"/>
      <c r="J620" s="209"/>
    </row>
    <row r="621" spans="6:10">
      <c r="F621" s="225"/>
      <c r="H621" s="209"/>
      <c r="J621" s="209"/>
    </row>
    <row r="622" spans="6:10">
      <c r="F622" s="225"/>
      <c r="H622" s="209"/>
      <c r="J622" s="209"/>
    </row>
    <row r="623" spans="6:10">
      <c r="F623" s="225"/>
      <c r="H623" s="209"/>
      <c r="J623" s="209"/>
    </row>
    <row r="624" spans="6:10">
      <c r="F624" s="225"/>
      <c r="H624" s="209"/>
      <c r="J624" s="209"/>
    </row>
    <row r="625" spans="6:10">
      <c r="F625" s="225"/>
      <c r="H625" s="209"/>
      <c r="J625" s="209"/>
    </row>
    <row r="626" spans="6:10">
      <c r="F626" s="225"/>
      <c r="H626" s="209"/>
      <c r="J626" s="209"/>
    </row>
    <row r="627" spans="6:10">
      <c r="F627" s="225"/>
      <c r="H627" s="209"/>
      <c r="J627" s="209"/>
    </row>
    <row r="628" spans="6:10">
      <c r="F628" s="225"/>
      <c r="H628" s="209"/>
      <c r="J628" s="209"/>
    </row>
    <row r="629" spans="6:10">
      <c r="F629" s="225"/>
      <c r="H629" s="209"/>
      <c r="J629" s="209"/>
    </row>
    <row r="630" spans="6:10">
      <c r="F630" s="225"/>
      <c r="H630" s="209"/>
      <c r="J630" s="209"/>
    </row>
    <row r="631" spans="6:10">
      <c r="F631" s="225"/>
      <c r="H631" s="209"/>
      <c r="J631" s="209"/>
    </row>
    <row r="632" spans="6:10">
      <c r="F632" s="225"/>
      <c r="H632" s="209"/>
      <c r="J632" s="209"/>
    </row>
    <row r="633" spans="6:10">
      <c r="F633" s="225"/>
      <c r="H633" s="209"/>
      <c r="J633" s="209"/>
    </row>
    <row r="634" spans="6:10">
      <c r="F634" s="225"/>
      <c r="H634" s="209"/>
      <c r="J634" s="209"/>
    </row>
    <row r="635" spans="6:10">
      <c r="F635" s="225"/>
      <c r="H635" s="209"/>
      <c r="J635" s="209"/>
    </row>
    <row r="636" spans="6:10">
      <c r="F636" s="225"/>
      <c r="H636" s="209"/>
      <c r="J636" s="209"/>
    </row>
    <row r="637" spans="6:10">
      <c r="F637" s="225"/>
      <c r="H637" s="209"/>
      <c r="J637" s="209"/>
    </row>
    <row r="638" spans="6:10">
      <c r="F638" s="225"/>
      <c r="H638" s="209"/>
      <c r="J638" s="209"/>
    </row>
    <row r="639" spans="6:10">
      <c r="F639" s="225"/>
      <c r="H639" s="209"/>
      <c r="J639" s="209"/>
    </row>
    <row r="640" spans="6:10">
      <c r="F640" s="225"/>
      <c r="H640" s="209"/>
      <c r="J640" s="209"/>
    </row>
    <row r="641" spans="6:10">
      <c r="F641" s="225"/>
      <c r="H641" s="209"/>
      <c r="J641" s="209"/>
    </row>
    <row r="642" spans="6:10">
      <c r="F642" s="225"/>
      <c r="H642" s="209"/>
      <c r="J642" s="209"/>
    </row>
    <row r="643" spans="6:10">
      <c r="F643" s="225"/>
      <c r="H643" s="209"/>
      <c r="J643" s="209"/>
    </row>
    <row r="644" spans="6:10">
      <c r="F644" s="225"/>
      <c r="H644" s="209"/>
      <c r="J644" s="209"/>
    </row>
    <row r="645" spans="6:10">
      <c r="F645" s="225"/>
      <c r="H645" s="209"/>
      <c r="J645" s="209"/>
    </row>
    <row r="646" spans="6:10">
      <c r="F646" s="225"/>
      <c r="H646" s="209"/>
      <c r="J646" s="209"/>
    </row>
    <row r="647" spans="6:10">
      <c r="F647" s="225"/>
      <c r="H647" s="209"/>
      <c r="J647" s="209"/>
    </row>
    <row r="648" spans="6:10">
      <c r="F648" s="225"/>
      <c r="H648" s="209"/>
      <c r="J648" s="209"/>
    </row>
    <row r="649" spans="6:10">
      <c r="F649" s="225"/>
      <c r="H649" s="209"/>
      <c r="J649" s="209"/>
    </row>
    <row r="650" spans="6:10">
      <c r="F650" s="225"/>
      <c r="H650" s="209"/>
      <c r="J650" s="209"/>
    </row>
    <row r="651" spans="6:10">
      <c r="F651" s="225"/>
      <c r="H651" s="209"/>
      <c r="J651" s="209"/>
    </row>
    <row r="652" spans="6:10">
      <c r="F652" s="225"/>
      <c r="H652" s="209"/>
      <c r="J652" s="209"/>
    </row>
    <row r="653" spans="6:10">
      <c r="F653" s="225"/>
      <c r="H653" s="209"/>
      <c r="J653" s="209"/>
    </row>
    <row r="654" spans="6:10">
      <c r="F654" s="225"/>
      <c r="H654" s="209"/>
      <c r="J654" s="209"/>
    </row>
    <row r="655" spans="6:10">
      <c r="F655" s="225"/>
      <c r="H655" s="209"/>
      <c r="J655" s="209"/>
    </row>
    <row r="656" spans="6:10">
      <c r="F656" s="225"/>
      <c r="H656" s="209"/>
      <c r="J656" s="209"/>
    </row>
    <row r="657" spans="6:10">
      <c r="F657" s="225"/>
      <c r="H657" s="209"/>
      <c r="J657" s="209"/>
    </row>
    <row r="658" spans="6:10">
      <c r="F658" s="225"/>
      <c r="H658" s="209"/>
      <c r="J658" s="209"/>
    </row>
    <row r="659" spans="6:10">
      <c r="F659" s="225"/>
      <c r="H659" s="209"/>
      <c r="J659" s="209"/>
    </row>
    <row r="660" spans="6:10">
      <c r="F660" s="225"/>
      <c r="H660" s="209"/>
      <c r="J660" s="209"/>
    </row>
    <row r="661" spans="6:10">
      <c r="F661" s="225"/>
      <c r="H661" s="209"/>
      <c r="J661" s="209"/>
    </row>
    <row r="662" spans="6:10">
      <c r="F662" s="225"/>
      <c r="H662" s="209"/>
      <c r="J662" s="209"/>
    </row>
    <row r="663" spans="6:10">
      <c r="F663" s="225"/>
      <c r="H663" s="209"/>
      <c r="J663" s="209"/>
    </row>
    <row r="664" spans="6:10">
      <c r="F664" s="225"/>
      <c r="H664" s="209"/>
      <c r="J664" s="209"/>
    </row>
    <row r="665" spans="6:10">
      <c r="F665" s="225"/>
      <c r="H665" s="209"/>
      <c r="J665" s="209"/>
    </row>
    <row r="666" spans="6:10">
      <c r="F666" s="225"/>
      <c r="H666" s="209"/>
      <c r="J666" s="209"/>
    </row>
    <row r="667" spans="6:10">
      <c r="F667" s="225"/>
      <c r="H667" s="209"/>
      <c r="J667" s="209"/>
    </row>
    <row r="668" spans="6:10">
      <c r="F668" s="225"/>
      <c r="H668" s="209"/>
      <c r="J668" s="209"/>
    </row>
    <row r="669" spans="6:10">
      <c r="F669" s="225"/>
      <c r="H669" s="209"/>
      <c r="J669" s="209"/>
    </row>
    <row r="670" spans="6:10">
      <c r="F670" s="225"/>
      <c r="H670" s="209"/>
      <c r="J670" s="209"/>
    </row>
    <row r="671" spans="6:10">
      <c r="F671" s="225"/>
      <c r="H671" s="209"/>
      <c r="J671" s="209"/>
    </row>
    <row r="672" spans="6:10">
      <c r="F672" s="225"/>
      <c r="H672" s="209"/>
      <c r="J672" s="209"/>
    </row>
    <row r="673" spans="6:10">
      <c r="F673" s="225"/>
      <c r="H673" s="209"/>
      <c r="J673" s="209"/>
    </row>
    <row r="674" spans="6:10">
      <c r="F674" s="225"/>
      <c r="H674" s="209"/>
      <c r="J674" s="209"/>
    </row>
    <row r="675" spans="6:10">
      <c r="F675" s="225"/>
      <c r="H675" s="209"/>
      <c r="J675" s="209"/>
    </row>
    <row r="676" spans="6:10">
      <c r="F676" s="225"/>
      <c r="H676" s="209"/>
      <c r="J676" s="209"/>
    </row>
    <row r="677" spans="6:10">
      <c r="F677" s="225"/>
      <c r="H677" s="209"/>
      <c r="J677" s="209"/>
    </row>
    <row r="678" spans="6:10">
      <c r="F678" s="225"/>
      <c r="H678" s="209"/>
      <c r="J678" s="209"/>
    </row>
    <row r="679" spans="6:10">
      <c r="F679" s="225"/>
      <c r="H679" s="209"/>
      <c r="J679" s="209"/>
    </row>
    <row r="680" spans="6:10">
      <c r="F680" s="225"/>
      <c r="H680" s="209"/>
      <c r="J680" s="209"/>
    </row>
    <row r="681" spans="6:10">
      <c r="F681" s="225"/>
      <c r="H681" s="209"/>
      <c r="J681" s="209"/>
    </row>
    <row r="682" spans="6:10">
      <c r="F682" s="225"/>
      <c r="H682" s="209"/>
      <c r="J682" s="209"/>
    </row>
    <row r="683" spans="6:10">
      <c r="F683" s="225"/>
      <c r="H683" s="209"/>
      <c r="J683" s="209"/>
    </row>
    <row r="684" spans="6:10">
      <c r="F684" s="225"/>
      <c r="H684" s="209"/>
      <c r="J684" s="209"/>
    </row>
    <row r="685" spans="6:10">
      <c r="F685" s="225"/>
      <c r="H685" s="209"/>
      <c r="J685" s="209"/>
    </row>
    <row r="686" spans="6:10">
      <c r="F686" s="225"/>
      <c r="H686" s="209"/>
      <c r="J686" s="209"/>
    </row>
    <row r="687" spans="6:10">
      <c r="F687" s="225"/>
      <c r="H687" s="209"/>
      <c r="J687" s="209"/>
    </row>
    <row r="688" spans="6:10">
      <c r="F688" s="225"/>
      <c r="H688" s="209"/>
      <c r="J688" s="209"/>
    </row>
    <row r="689" spans="6:10">
      <c r="F689" s="225"/>
      <c r="H689" s="209"/>
      <c r="J689" s="209"/>
    </row>
    <row r="690" spans="6:10">
      <c r="F690" s="225"/>
      <c r="H690" s="209"/>
      <c r="J690" s="209"/>
    </row>
    <row r="691" spans="6:10">
      <c r="F691" s="225"/>
      <c r="H691" s="209"/>
      <c r="J691" s="209"/>
    </row>
    <row r="692" spans="6:10">
      <c r="F692" s="225"/>
      <c r="H692" s="209"/>
      <c r="J692" s="209"/>
    </row>
    <row r="693" spans="6:10">
      <c r="F693" s="225"/>
      <c r="H693" s="209"/>
      <c r="J693" s="209"/>
    </row>
    <row r="694" spans="6:10">
      <c r="F694" s="225"/>
      <c r="H694" s="209"/>
      <c r="J694" s="209"/>
    </row>
    <row r="695" spans="6:10">
      <c r="F695" s="225"/>
      <c r="H695" s="209"/>
      <c r="J695" s="209"/>
    </row>
    <row r="696" spans="6:10">
      <c r="F696" s="225"/>
      <c r="H696" s="209"/>
      <c r="J696" s="209"/>
    </row>
    <row r="697" spans="6:10">
      <c r="F697" s="225"/>
      <c r="H697" s="209"/>
      <c r="J697" s="209"/>
    </row>
    <row r="698" spans="6:10">
      <c r="F698" s="225"/>
      <c r="H698" s="209"/>
      <c r="J698" s="209"/>
    </row>
    <row r="699" spans="6:10">
      <c r="F699" s="225"/>
      <c r="H699" s="209"/>
      <c r="J699" s="209"/>
    </row>
    <row r="700" spans="6:10">
      <c r="F700" s="225"/>
      <c r="H700" s="209"/>
      <c r="J700" s="209"/>
    </row>
    <row r="701" spans="6:10">
      <c r="F701" s="225"/>
      <c r="H701" s="209"/>
      <c r="J701" s="209"/>
    </row>
    <row r="702" spans="6:10">
      <c r="F702" s="225"/>
      <c r="H702" s="209"/>
      <c r="J702" s="209"/>
    </row>
    <row r="703" spans="6:10">
      <c r="F703" s="225"/>
      <c r="H703" s="209"/>
      <c r="J703" s="209"/>
    </row>
    <row r="704" spans="6:10">
      <c r="F704" s="225"/>
      <c r="H704" s="209"/>
      <c r="J704" s="209"/>
    </row>
    <row r="705" spans="6:10">
      <c r="F705" s="225"/>
      <c r="H705" s="209"/>
      <c r="J705" s="209"/>
    </row>
    <row r="706" spans="6:10">
      <c r="F706" s="225"/>
      <c r="H706" s="209"/>
      <c r="J706" s="209"/>
    </row>
    <row r="707" spans="6:10">
      <c r="F707" s="225"/>
      <c r="H707" s="209"/>
      <c r="J707" s="209"/>
    </row>
    <row r="708" spans="6:10">
      <c r="F708" s="225"/>
      <c r="H708" s="209"/>
      <c r="J708" s="209"/>
    </row>
    <row r="709" spans="6:10">
      <c r="F709" s="225"/>
      <c r="H709" s="209"/>
      <c r="J709" s="209"/>
    </row>
    <row r="710" spans="6:10">
      <c r="F710" s="225"/>
      <c r="H710" s="209"/>
      <c r="J710" s="209"/>
    </row>
    <row r="711" spans="6:10">
      <c r="F711" s="225"/>
      <c r="H711" s="209"/>
      <c r="J711" s="209"/>
    </row>
    <row r="712" spans="6:10">
      <c r="F712" s="225"/>
      <c r="H712" s="209"/>
      <c r="J712" s="209"/>
    </row>
    <row r="713" spans="6:10">
      <c r="F713" s="225"/>
      <c r="H713" s="209"/>
      <c r="J713" s="209"/>
    </row>
    <row r="714" spans="6:10">
      <c r="F714" s="225"/>
      <c r="H714" s="209"/>
      <c r="J714" s="209"/>
    </row>
    <row r="715" spans="6:10">
      <c r="F715" s="225"/>
      <c r="H715" s="209"/>
      <c r="J715" s="209"/>
    </row>
    <row r="716" spans="6:10">
      <c r="F716" s="225"/>
      <c r="H716" s="209"/>
      <c r="J716" s="209"/>
    </row>
    <row r="717" spans="6:10">
      <c r="F717" s="225"/>
      <c r="H717" s="209"/>
      <c r="J717" s="209"/>
    </row>
    <row r="718" spans="6:10">
      <c r="F718" s="225"/>
      <c r="H718" s="209"/>
      <c r="J718" s="209"/>
    </row>
    <row r="719" spans="6:10">
      <c r="F719" s="225"/>
      <c r="H719" s="209"/>
      <c r="J719" s="209"/>
    </row>
    <row r="720" spans="6:10">
      <c r="F720" s="225"/>
      <c r="H720" s="209"/>
      <c r="J720" s="209"/>
    </row>
    <row r="721" spans="6:10">
      <c r="F721" s="225"/>
      <c r="H721" s="209"/>
      <c r="J721" s="209"/>
    </row>
    <row r="722" spans="6:10">
      <c r="F722" s="225"/>
      <c r="H722" s="209"/>
      <c r="J722" s="209"/>
    </row>
    <row r="723" spans="6:10">
      <c r="F723" s="225"/>
      <c r="H723" s="209"/>
      <c r="J723" s="209"/>
    </row>
    <row r="724" spans="6:10">
      <c r="F724" s="225"/>
      <c r="H724" s="209"/>
      <c r="J724" s="209"/>
    </row>
    <row r="725" spans="6:10">
      <c r="F725" s="225"/>
      <c r="H725" s="209"/>
      <c r="J725" s="209"/>
    </row>
    <row r="726" spans="6:10">
      <c r="F726" s="225"/>
      <c r="H726" s="209"/>
      <c r="J726" s="209"/>
    </row>
    <row r="727" spans="6:10">
      <c r="F727" s="225"/>
      <c r="H727" s="209"/>
      <c r="J727" s="209"/>
    </row>
    <row r="728" spans="6:10">
      <c r="F728" s="225"/>
      <c r="H728" s="209"/>
      <c r="J728" s="209"/>
    </row>
    <row r="729" spans="6:10">
      <c r="F729" s="225"/>
      <c r="H729" s="209"/>
      <c r="J729" s="209"/>
    </row>
    <row r="730" spans="6:10">
      <c r="F730" s="225"/>
      <c r="H730" s="209"/>
      <c r="J730" s="209"/>
    </row>
    <row r="731" spans="6:10">
      <c r="F731" s="225"/>
      <c r="H731" s="209"/>
      <c r="J731" s="209"/>
    </row>
    <row r="732" spans="6:10">
      <c r="F732" s="225"/>
      <c r="H732" s="209"/>
      <c r="J732" s="209"/>
    </row>
    <row r="733" spans="6:10">
      <c r="F733" s="225"/>
      <c r="H733" s="209"/>
      <c r="J733" s="209"/>
    </row>
    <row r="734" spans="6:10">
      <c r="F734" s="225"/>
      <c r="H734" s="209"/>
      <c r="J734" s="209"/>
    </row>
    <row r="735" spans="6:10">
      <c r="F735" s="225"/>
      <c r="H735" s="209"/>
      <c r="J735" s="209"/>
    </row>
    <row r="736" spans="6:10">
      <c r="F736" s="225"/>
      <c r="H736" s="209"/>
      <c r="J736" s="209"/>
    </row>
    <row r="737" spans="6:10">
      <c r="F737" s="225"/>
      <c r="H737" s="209"/>
      <c r="J737" s="209"/>
    </row>
    <row r="738" spans="6:10">
      <c r="F738" s="225"/>
      <c r="H738" s="209"/>
      <c r="J738" s="209"/>
    </row>
    <row r="739" spans="6:10">
      <c r="F739" s="225"/>
      <c r="H739" s="209"/>
      <c r="J739" s="209"/>
    </row>
    <row r="740" spans="6:10">
      <c r="F740" s="225"/>
      <c r="H740" s="209"/>
      <c r="J740" s="209"/>
    </row>
    <row r="741" spans="6:10">
      <c r="F741" s="225"/>
      <c r="H741" s="209"/>
      <c r="J741" s="209"/>
    </row>
    <row r="742" spans="6:10">
      <c r="F742" s="225"/>
      <c r="H742" s="209"/>
      <c r="J742" s="209"/>
    </row>
    <row r="743" spans="6:10">
      <c r="F743" s="225"/>
      <c r="H743" s="209"/>
      <c r="J743" s="209"/>
    </row>
    <row r="744" spans="6:10">
      <c r="F744" s="225"/>
      <c r="H744" s="209"/>
      <c r="J744" s="209"/>
    </row>
    <row r="745" spans="6:10">
      <c r="F745" s="225"/>
      <c r="H745" s="209"/>
      <c r="J745" s="209"/>
    </row>
    <row r="746" spans="6:10">
      <c r="F746" s="225"/>
      <c r="H746" s="209"/>
      <c r="J746" s="209"/>
    </row>
    <row r="747" spans="6:10">
      <c r="F747" s="225"/>
      <c r="H747" s="209"/>
      <c r="J747" s="209"/>
    </row>
    <row r="748" spans="6:10">
      <c r="F748" s="225"/>
      <c r="H748" s="209"/>
      <c r="J748" s="209"/>
    </row>
    <row r="749" spans="6:10">
      <c r="F749" s="225"/>
      <c r="H749" s="209"/>
      <c r="J749" s="209"/>
    </row>
    <row r="750" spans="6:10">
      <c r="F750" s="225"/>
      <c r="H750" s="209"/>
      <c r="J750" s="209"/>
    </row>
    <row r="751" spans="6:10">
      <c r="F751" s="225"/>
      <c r="H751" s="209"/>
      <c r="J751" s="209"/>
    </row>
    <row r="752" spans="6:10">
      <c r="F752" s="225"/>
      <c r="H752" s="209"/>
      <c r="J752" s="209"/>
    </row>
    <row r="753" spans="6:10">
      <c r="F753" s="225"/>
      <c r="H753" s="209"/>
      <c r="J753" s="209"/>
    </row>
    <row r="754" spans="6:10">
      <c r="F754" s="225"/>
      <c r="H754" s="209"/>
      <c r="J754" s="209"/>
    </row>
    <row r="755" spans="6:10">
      <c r="F755" s="225"/>
      <c r="H755" s="209"/>
      <c r="J755" s="209"/>
    </row>
    <row r="756" spans="6:10">
      <c r="F756" s="225"/>
      <c r="H756" s="209"/>
      <c r="J756" s="209"/>
    </row>
    <row r="757" spans="6:10">
      <c r="F757" s="225"/>
      <c r="H757" s="209"/>
      <c r="J757" s="209"/>
    </row>
    <row r="758" spans="6:10">
      <c r="F758" s="225"/>
      <c r="H758" s="209"/>
      <c r="J758" s="209"/>
    </row>
    <row r="759" spans="6:10">
      <c r="F759" s="225"/>
      <c r="H759" s="209"/>
      <c r="J759" s="209"/>
    </row>
    <row r="760" spans="6:10">
      <c r="F760" s="225"/>
      <c r="H760" s="209"/>
      <c r="J760" s="209"/>
    </row>
    <row r="761" spans="6:10">
      <c r="F761" s="225"/>
      <c r="H761" s="209"/>
      <c r="J761" s="209"/>
    </row>
    <row r="762" spans="6:10">
      <c r="F762" s="225"/>
      <c r="H762" s="209"/>
      <c r="J762" s="209"/>
    </row>
    <row r="763" spans="6:10">
      <c r="F763" s="225"/>
      <c r="H763" s="209"/>
      <c r="J763" s="209"/>
    </row>
    <row r="764" spans="6:10">
      <c r="F764" s="225"/>
      <c r="H764" s="209"/>
      <c r="J764" s="209"/>
    </row>
    <row r="765" spans="6:10">
      <c r="F765" s="225"/>
      <c r="H765" s="209"/>
      <c r="J765" s="209"/>
    </row>
    <row r="766" spans="6:10">
      <c r="F766" s="225"/>
      <c r="H766" s="209"/>
      <c r="J766" s="209"/>
    </row>
    <row r="767" spans="6:10">
      <c r="F767" s="225"/>
      <c r="H767" s="209"/>
      <c r="J767" s="209"/>
    </row>
    <row r="768" spans="6:10">
      <c r="F768" s="225"/>
      <c r="H768" s="209"/>
      <c r="J768" s="209"/>
    </row>
    <row r="769" spans="6:10">
      <c r="F769" s="225"/>
      <c r="H769" s="209"/>
      <c r="J769" s="209"/>
    </row>
    <row r="770" spans="6:10">
      <c r="F770" s="225"/>
      <c r="H770" s="209"/>
      <c r="J770" s="209"/>
    </row>
    <row r="771" spans="6:10">
      <c r="F771" s="225"/>
      <c r="H771" s="209"/>
      <c r="J771" s="209"/>
    </row>
    <row r="772" spans="6:10">
      <c r="F772" s="225"/>
      <c r="H772" s="209"/>
      <c r="J772" s="209"/>
    </row>
    <row r="773" spans="6:10">
      <c r="F773" s="225"/>
      <c r="H773" s="209"/>
      <c r="J773" s="209"/>
    </row>
    <row r="774" spans="6:10">
      <c r="F774" s="225"/>
      <c r="H774" s="209"/>
      <c r="J774" s="209"/>
    </row>
    <row r="775" spans="6:10">
      <c r="F775" s="225"/>
      <c r="H775" s="209"/>
      <c r="J775" s="209"/>
    </row>
    <row r="776" spans="6:10">
      <c r="F776" s="225"/>
      <c r="H776" s="209"/>
      <c r="J776" s="209"/>
    </row>
    <row r="777" spans="6:10">
      <c r="F777" s="225"/>
      <c r="H777" s="209"/>
      <c r="J777" s="209"/>
    </row>
    <row r="778" spans="6:10">
      <c r="F778" s="225"/>
      <c r="H778" s="209"/>
      <c r="J778" s="209"/>
    </row>
    <row r="779" spans="6:10">
      <c r="F779" s="225"/>
      <c r="H779" s="209"/>
      <c r="J779" s="209"/>
    </row>
    <row r="780" spans="6:10">
      <c r="F780" s="225"/>
      <c r="H780" s="209"/>
      <c r="J780" s="209"/>
    </row>
    <row r="781" spans="6:10">
      <c r="F781" s="225"/>
      <c r="H781" s="209"/>
      <c r="J781" s="209"/>
    </row>
    <row r="782" spans="6:10">
      <c r="F782" s="225"/>
      <c r="H782" s="209"/>
      <c r="J782" s="209"/>
    </row>
    <row r="783" spans="6:10">
      <c r="F783" s="225"/>
      <c r="H783" s="209"/>
      <c r="J783" s="209"/>
    </row>
    <row r="784" spans="6:10">
      <c r="F784" s="225"/>
      <c r="H784" s="209"/>
      <c r="J784" s="209"/>
    </row>
    <row r="785" spans="6:10">
      <c r="F785" s="225"/>
      <c r="H785" s="209"/>
      <c r="J785" s="209"/>
    </row>
    <row r="786" spans="6:10">
      <c r="F786" s="225"/>
      <c r="H786" s="209"/>
      <c r="J786" s="209"/>
    </row>
    <row r="787" spans="6:10">
      <c r="F787" s="225"/>
      <c r="H787" s="209"/>
      <c r="J787" s="209"/>
    </row>
    <row r="788" spans="6:10">
      <c r="F788" s="225"/>
      <c r="H788" s="209"/>
      <c r="J788" s="209"/>
    </row>
    <row r="789" spans="6:10">
      <c r="F789" s="225"/>
      <c r="H789" s="209"/>
      <c r="J789" s="209"/>
    </row>
    <row r="790" spans="6:10">
      <c r="F790" s="225"/>
      <c r="H790" s="209"/>
      <c r="J790" s="209"/>
    </row>
    <row r="791" spans="6:10">
      <c r="F791" s="225"/>
      <c r="H791" s="209"/>
      <c r="J791" s="209"/>
    </row>
    <row r="792" spans="6:10">
      <c r="F792" s="225"/>
      <c r="H792" s="209"/>
      <c r="J792" s="209"/>
    </row>
    <row r="793" spans="6:10">
      <c r="F793" s="225"/>
      <c r="H793" s="209"/>
      <c r="J793" s="209"/>
    </row>
    <row r="794" spans="6:10">
      <c r="F794" s="225"/>
      <c r="H794" s="209"/>
      <c r="J794" s="209"/>
    </row>
    <row r="795" spans="6:10">
      <c r="F795" s="225"/>
      <c r="H795" s="209"/>
      <c r="J795" s="209"/>
    </row>
    <row r="796" spans="6:10">
      <c r="F796" s="225"/>
      <c r="H796" s="209"/>
      <c r="J796" s="209"/>
    </row>
    <row r="797" spans="6:10">
      <c r="F797" s="225"/>
      <c r="H797" s="209"/>
      <c r="J797" s="209"/>
    </row>
    <row r="798" spans="6:10">
      <c r="F798" s="225"/>
      <c r="H798" s="209"/>
      <c r="J798" s="209"/>
    </row>
    <row r="799" spans="6:10">
      <c r="F799" s="225"/>
      <c r="H799" s="209"/>
      <c r="J799" s="209"/>
    </row>
    <row r="800" spans="6:10">
      <c r="F800" s="225"/>
      <c r="H800" s="209"/>
      <c r="J800" s="209"/>
    </row>
    <row r="801" spans="6:10">
      <c r="F801" s="225"/>
      <c r="H801" s="209"/>
      <c r="J801" s="209"/>
    </row>
    <row r="802" spans="6:10">
      <c r="F802" s="225"/>
      <c r="H802" s="209"/>
      <c r="J802" s="209"/>
    </row>
    <row r="803" spans="6:10">
      <c r="F803" s="225"/>
      <c r="H803" s="209"/>
      <c r="J803" s="209"/>
    </row>
    <row r="804" spans="6:10">
      <c r="F804" s="225"/>
      <c r="H804" s="209"/>
      <c r="J804" s="209"/>
    </row>
    <row r="805" spans="6:10">
      <c r="F805" s="225"/>
      <c r="H805" s="209"/>
      <c r="J805" s="209"/>
    </row>
    <row r="806" spans="6:10">
      <c r="F806" s="225"/>
      <c r="H806" s="209"/>
      <c r="J806" s="209"/>
    </row>
    <row r="807" spans="6:10">
      <c r="F807" s="225"/>
      <c r="H807" s="209"/>
      <c r="J807" s="209"/>
    </row>
    <row r="808" spans="6:10">
      <c r="F808" s="225"/>
      <c r="H808" s="209"/>
      <c r="J808" s="209"/>
    </row>
    <row r="809" spans="6:10">
      <c r="F809" s="225"/>
      <c r="H809" s="209"/>
      <c r="J809" s="209"/>
    </row>
    <row r="810" spans="6:10">
      <c r="F810" s="225"/>
      <c r="H810" s="209"/>
      <c r="J810" s="209"/>
    </row>
    <row r="811" spans="6:10">
      <c r="F811" s="225"/>
      <c r="H811" s="209"/>
      <c r="J811" s="209"/>
    </row>
    <row r="812" spans="6:10">
      <c r="F812" s="225"/>
      <c r="H812" s="209"/>
      <c r="J812" s="209"/>
    </row>
    <row r="813" spans="6:10">
      <c r="F813" s="225"/>
      <c r="H813" s="209"/>
      <c r="J813" s="209"/>
    </row>
    <row r="814" spans="6:10">
      <c r="F814" s="225"/>
      <c r="H814" s="209"/>
      <c r="J814" s="209"/>
    </row>
    <row r="815" spans="6:10">
      <c r="F815" s="225"/>
      <c r="H815" s="209"/>
      <c r="J815" s="209"/>
    </row>
    <row r="816" spans="6:10">
      <c r="F816" s="225"/>
      <c r="H816" s="209"/>
      <c r="J816" s="209"/>
    </row>
    <row r="817" spans="6:10">
      <c r="F817" s="225"/>
      <c r="H817" s="209"/>
      <c r="J817" s="209"/>
    </row>
    <row r="818" spans="6:10">
      <c r="F818" s="225"/>
      <c r="H818" s="209"/>
      <c r="J818" s="209"/>
    </row>
    <row r="819" spans="6:10">
      <c r="F819" s="225"/>
      <c r="H819" s="209"/>
      <c r="J819" s="209"/>
    </row>
    <row r="820" spans="6:10">
      <c r="F820" s="225"/>
      <c r="H820" s="209"/>
      <c r="J820" s="209"/>
    </row>
    <row r="821" spans="6:10">
      <c r="F821" s="225"/>
      <c r="H821" s="209"/>
      <c r="J821" s="209"/>
    </row>
    <row r="822" spans="6:10">
      <c r="F822" s="225"/>
      <c r="H822" s="209"/>
      <c r="J822" s="209"/>
    </row>
    <row r="823" spans="6:10">
      <c r="F823" s="225"/>
      <c r="H823" s="209"/>
      <c r="J823" s="209"/>
    </row>
    <row r="824" spans="6:10">
      <c r="F824" s="225"/>
      <c r="H824" s="209"/>
      <c r="J824" s="209"/>
    </row>
    <row r="825" spans="6:10">
      <c r="F825" s="225"/>
      <c r="H825" s="209"/>
      <c r="J825" s="209"/>
    </row>
    <row r="826" spans="6:10">
      <c r="F826" s="225"/>
      <c r="H826" s="209"/>
      <c r="J826" s="209"/>
    </row>
    <row r="827" spans="6:10">
      <c r="F827" s="225"/>
      <c r="H827" s="209"/>
      <c r="J827" s="209"/>
    </row>
    <row r="828" spans="6:10">
      <c r="F828" s="225"/>
      <c r="H828" s="209"/>
      <c r="J828" s="209"/>
    </row>
    <row r="829" spans="6:10">
      <c r="F829" s="225"/>
      <c r="H829" s="209"/>
      <c r="J829" s="209"/>
    </row>
    <row r="830" spans="6:10">
      <c r="F830" s="225"/>
      <c r="H830" s="209"/>
      <c r="J830" s="209"/>
    </row>
    <row r="831" spans="6:10">
      <c r="F831" s="225"/>
      <c r="H831" s="209"/>
      <c r="J831" s="209"/>
    </row>
    <row r="832" spans="6:10">
      <c r="F832" s="225"/>
      <c r="H832" s="209"/>
      <c r="J832" s="209"/>
    </row>
    <row r="833" spans="6:10">
      <c r="F833" s="225"/>
      <c r="H833" s="209"/>
      <c r="J833" s="209"/>
    </row>
    <row r="834" spans="6:10">
      <c r="F834" s="225"/>
      <c r="H834" s="209"/>
      <c r="J834" s="209"/>
    </row>
    <row r="835" spans="6:10">
      <c r="F835" s="225"/>
      <c r="H835" s="209"/>
      <c r="J835" s="209"/>
    </row>
    <row r="836" spans="6:10">
      <c r="F836" s="225"/>
      <c r="H836" s="209"/>
      <c r="J836" s="209"/>
    </row>
    <row r="837" spans="6:10">
      <c r="F837" s="225"/>
      <c r="H837" s="209"/>
      <c r="J837" s="209"/>
    </row>
    <row r="838" spans="6:10">
      <c r="F838" s="225"/>
      <c r="H838" s="209"/>
      <c r="J838" s="209"/>
    </row>
    <row r="839" spans="6:10">
      <c r="F839" s="225"/>
      <c r="H839" s="209"/>
      <c r="J839" s="209"/>
    </row>
    <row r="840" spans="6:10">
      <c r="F840" s="225"/>
      <c r="H840" s="209"/>
      <c r="J840" s="209"/>
    </row>
    <row r="841" spans="6:10">
      <c r="F841" s="225"/>
      <c r="H841" s="209"/>
      <c r="J841" s="209"/>
    </row>
    <row r="842" spans="6:10">
      <c r="F842" s="225"/>
      <c r="H842" s="209"/>
      <c r="J842" s="209"/>
    </row>
    <row r="843" spans="6:10">
      <c r="F843" s="225"/>
      <c r="H843" s="209"/>
      <c r="J843" s="209"/>
    </row>
    <row r="844" spans="6:10">
      <c r="F844" s="225"/>
      <c r="H844" s="209"/>
      <c r="J844" s="209"/>
    </row>
    <row r="845" spans="6:10">
      <c r="F845" s="225"/>
      <c r="H845" s="209"/>
      <c r="J845" s="209"/>
    </row>
    <row r="846" spans="6:10">
      <c r="F846" s="225"/>
      <c r="H846" s="209"/>
      <c r="J846" s="209"/>
    </row>
    <row r="847" spans="6:10">
      <c r="F847" s="225"/>
      <c r="H847" s="209"/>
      <c r="J847" s="209"/>
    </row>
    <row r="848" spans="6:10">
      <c r="F848" s="225"/>
      <c r="H848" s="209"/>
      <c r="J848" s="209"/>
    </row>
    <row r="849" spans="6:10">
      <c r="F849" s="225"/>
      <c r="H849" s="209"/>
      <c r="J849" s="209"/>
    </row>
    <row r="850" spans="6:10">
      <c r="F850" s="225"/>
      <c r="H850" s="209"/>
      <c r="J850" s="209"/>
    </row>
    <row r="851" spans="6:10">
      <c r="F851" s="225"/>
      <c r="H851" s="209"/>
      <c r="J851" s="209"/>
    </row>
    <row r="852" spans="6:10">
      <c r="F852" s="225"/>
      <c r="H852" s="209"/>
      <c r="J852" s="209"/>
    </row>
    <row r="853" spans="6:10">
      <c r="F853" s="225"/>
      <c r="H853" s="209"/>
      <c r="J853" s="209"/>
    </row>
    <row r="854" spans="6:10">
      <c r="F854" s="225"/>
      <c r="H854" s="209"/>
      <c r="J854" s="209"/>
    </row>
    <row r="855" spans="6:10">
      <c r="F855" s="225"/>
      <c r="H855" s="209"/>
      <c r="J855" s="209"/>
    </row>
    <row r="856" spans="6:10">
      <c r="F856" s="225"/>
      <c r="H856" s="209"/>
      <c r="J856" s="209"/>
    </row>
    <row r="857" spans="6:10">
      <c r="F857" s="225"/>
      <c r="H857" s="209"/>
      <c r="J857" s="209"/>
    </row>
    <row r="858" spans="6:10">
      <c r="F858" s="225"/>
      <c r="H858" s="209"/>
      <c r="J858" s="209"/>
    </row>
    <row r="859" spans="6:10">
      <c r="F859" s="225"/>
      <c r="H859" s="209"/>
      <c r="J859" s="209"/>
    </row>
    <row r="860" spans="6:10">
      <c r="F860" s="225"/>
      <c r="H860" s="209"/>
      <c r="J860" s="209"/>
    </row>
    <row r="861" spans="6:10">
      <c r="F861" s="225"/>
      <c r="H861" s="209"/>
      <c r="J861" s="209"/>
    </row>
    <row r="862" spans="6:10">
      <c r="F862" s="225"/>
      <c r="H862" s="209"/>
      <c r="J862" s="209"/>
    </row>
    <row r="863" spans="6:10">
      <c r="F863" s="225"/>
      <c r="H863" s="209"/>
      <c r="J863" s="209"/>
    </row>
    <row r="864" spans="6:10">
      <c r="F864" s="225"/>
      <c r="H864" s="209"/>
      <c r="J864" s="209"/>
    </row>
    <row r="865" spans="6:10">
      <c r="F865" s="225"/>
      <c r="H865" s="215"/>
      <c r="J865" s="215"/>
    </row>
    <row r="866" spans="6:10">
      <c r="F866" s="225"/>
      <c r="G866" s="221"/>
      <c r="H866" s="209"/>
      <c r="I866" s="217"/>
      <c r="J866" s="209"/>
    </row>
    <row r="867" spans="6:10">
      <c r="F867" s="225"/>
      <c r="G867" s="221"/>
      <c r="H867" s="209"/>
      <c r="I867" s="217"/>
      <c r="J867" s="209"/>
    </row>
    <row r="868" spans="6:10">
      <c r="F868" s="225"/>
      <c r="G868" s="221"/>
      <c r="H868" s="209"/>
      <c r="I868" s="217"/>
      <c r="J868" s="209"/>
    </row>
    <row r="869" spans="6:10">
      <c r="F869" s="225"/>
      <c r="G869" s="221"/>
      <c r="H869" s="209"/>
      <c r="I869" s="217"/>
      <c r="J869" s="209"/>
    </row>
    <row r="870" spans="6:10">
      <c r="F870" s="225"/>
      <c r="G870" s="221"/>
      <c r="H870" s="209"/>
      <c r="I870" s="217"/>
      <c r="J870" s="209"/>
    </row>
    <row r="871" spans="6:10">
      <c r="G871" s="221"/>
      <c r="H871" s="209"/>
      <c r="I871" s="217"/>
      <c r="J871" s="209"/>
    </row>
    <row r="872" spans="6:10">
      <c r="G872" s="221"/>
      <c r="H872" s="209"/>
      <c r="I872" s="217"/>
      <c r="J872" s="217"/>
    </row>
    <row r="873" spans="6:10">
      <c r="G873" s="221"/>
      <c r="H873" s="209"/>
      <c r="I873" s="217"/>
      <c r="J873" s="217"/>
    </row>
    <row r="874" spans="6:10">
      <c r="G874" s="221"/>
      <c r="H874" s="209"/>
      <c r="I874" s="217"/>
      <c r="J874" s="209"/>
    </row>
    <row r="875" spans="6:10">
      <c r="G875" s="221"/>
      <c r="H875" s="218"/>
      <c r="I875" s="217"/>
      <c r="J875" s="209"/>
    </row>
    <row r="876" spans="6:10">
      <c r="G876" s="221"/>
      <c r="H876" s="218"/>
      <c r="I876" s="217"/>
      <c r="J876" s="209"/>
    </row>
    <row r="877" spans="6:10">
      <c r="G877" s="221"/>
      <c r="H877" s="218"/>
      <c r="I877" s="217"/>
      <c r="J877" s="209"/>
    </row>
    <row r="878" spans="6:10">
      <c r="G878" s="221"/>
      <c r="H878" s="209"/>
      <c r="I878" s="217"/>
      <c r="J878" s="209"/>
    </row>
    <row r="879" spans="6:10">
      <c r="G879" s="221"/>
      <c r="H879" s="209"/>
      <c r="I879" s="217"/>
      <c r="J879" s="209"/>
    </row>
    <row r="880" spans="6:10">
      <c r="G880" s="221"/>
      <c r="H880" s="209"/>
      <c r="I880" s="217"/>
      <c r="J880" s="217"/>
    </row>
    <row r="881" spans="6:10">
      <c r="F881" s="226"/>
      <c r="G881" s="222"/>
      <c r="H881" s="219"/>
      <c r="I881" s="220"/>
      <c r="J881" s="220"/>
    </row>
  </sheetData>
  <customSheetViews>
    <customSheetView guid="{61ED9C2E-151C-43AF-B8D0-9E21D2FA6EF3}" state="hidden" topLeftCell="D11">
      <selection activeCell="F39" sqref="F39"/>
      <pageMargins left="0.7" right="0.7" top="0.75" bottom="0.75" header="0.3" footer="0.3"/>
      <pageSetup paperSize="9" orientation="portrait" r:id="rId1"/>
    </customSheetView>
    <customSheetView guid="{42DFB948-3AAE-4BC8-BE98-38DFC75BEBB9}" state="hidden" topLeftCell="D11">
      <selection activeCell="F39" sqref="F39"/>
      <pageMargins left="0.7" right="0.7" top="0.75" bottom="0.75" header="0.3" footer="0.3"/>
      <pageSetup paperSize="9" orientation="portrait" r:id="rId2"/>
    </customSheetView>
    <customSheetView guid="{A6591927-B6A0-4F29-ACFB-86D4B856E06A}" state="hidden" topLeftCell="D11">
      <selection activeCell="F39" sqref="F39"/>
      <pageMargins left="0.7" right="0.7" top="0.75" bottom="0.75" header="0.3" footer="0.3"/>
      <pageSetup paperSize="9" orientation="portrait" r:id="rId3"/>
    </customSheetView>
    <customSheetView guid="{D9E74CF5-B41B-4B47-9E59-F86450B63E7A}" state="hidden" topLeftCell="D19">
      <selection activeCell="L45" sqref="L45"/>
      <pageMargins left="0.7" right="0.7" top="0.75" bottom="0.75" header="0.3" footer="0.3"/>
      <pageSetup paperSize="9" orientation="portrait" r:id="rId4"/>
    </customSheetView>
    <customSheetView guid="{D529A7A1-1933-4765-AA36-44D0FD87D7B1}" state="hidden" topLeftCell="D19">
      <selection activeCell="L45" sqref="L45"/>
      <pageMargins left="0.7" right="0.7" top="0.75" bottom="0.75" header="0.3" footer="0.3"/>
      <pageSetup paperSize="9" orientation="portrait" r:id="rId5"/>
    </customSheetView>
    <customSheetView guid="{0943F56E-2267-4333-AC70-CA4FAC995AA9}" state="hidden" topLeftCell="D11">
      <selection activeCell="F39" sqref="F39"/>
      <pageMargins left="0.7" right="0.7" top="0.75" bottom="0.75" header="0.3" footer="0.3"/>
      <pageSetup paperSize="9" orientation="portrait" r:id="rId6"/>
    </customSheetView>
    <customSheetView guid="{F387C196-EB8F-4F17-8A3D-CFA67F3B2FD1}" state="hidden" topLeftCell="D11">
      <selection activeCell="F39" sqref="F39"/>
      <pageMargins left="0.7" right="0.7" top="0.75" bottom="0.75" header="0.3" footer="0.3"/>
      <pageSetup paperSize="9" orientation="portrait" r:id="rId7"/>
    </customSheetView>
  </customSheetViews>
  <pageMargins left="0.7" right="0.7" top="0.75" bottom="0.75" header="0.3" footer="0.3"/>
  <pageSetup paperSize="9" orientation="portrait"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2:Z1412"/>
  <sheetViews>
    <sheetView view="pageBreakPreview" topLeftCell="A12" zoomScale="70" zoomScaleNormal="85" zoomScaleSheetLayoutView="70" zoomScalePageLayoutView="10" workbookViewId="0">
      <pane ySplit="4" topLeftCell="A143" activePane="bottomLeft" state="frozen"/>
      <selection activeCell="A12" sqref="A12"/>
      <selection pane="bottomLeft" activeCell="N143" sqref="N143"/>
    </sheetView>
  </sheetViews>
  <sheetFormatPr defaultColWidth="9.140625" defaultRowHeight="15" outlineLevelRow="2"/>
  <cols>
    <col min="1" max="1" width="8" style="48" customWidth="1"/>
    <col min="2" max="2" width="6.85546875" style="31" customWidth="1"/>
    <col min="3" max="3" width="8.5703125" style="31" customWidth="1"/>
    <col min="4" max="4" width="10.42578125" style="31" customWidth="1"/>
    <col min="5" max="5" width="19.42578125" style="31" customWidth="1"/>
    <col min="6" max="6" width="24.5703125" style="285" customWidth="1"/>
    <col min="7" max="7" width="11.42578125" style="37" customWidth="1"/>
    <col min="8" max="8" width="13.42578125" style="31" customWidth="1"/>
    <col min="9" max="9" width="12.85546875" style="48" customWidth="1"/>
    <col min="10" max="11" width="9.7109375" style="90" bestFit="1" customWidth="1"/>
    <col min="12" max="12" width="60.42578125" style="31" customWidth="1"/>
    <col min="13" max="13" width="6.5703125" style="31" bestFit="1" customWidth="1"/>
    <col min="14" max="14" width="12.85546875" style="31" bestFit="1" customWidth="1"/>
    <col min="15" max="15" width="14.140625" style="48" customWidth="1"/>
    <col min="16" max="16" width="13" style="119" customWidth="1"/>
    <col min="17" max="17" width="12.42578125" style="84" customWidth="1"/>
    <col min="18" max="18" width="12.85546875" style="84" customWidth="1"/>
    <col min="19" max="19" width="12.5703125" style="84" customWidth="1"/>
    <col min="20" max="20" width="10.140625" style="84" customWidth="1"/>
    <col min="21" max="21" width="12.85546875" style="84" customWidth="1"/>
    <col min="22" max="22" width="11.7109375" style="84" customWidth="1"/>
    <col min="23" max="23" width="11.85546875" style="84" customWidth="1"/>
    <col min="24" max="24" width="10.5703125" style="84" customWidth="1"/>
    <col min="25" max="25" width="12.28515625" style="84" customWidth="1"/>
    <col min="26" max="26" width="11" style="84" customWidth="1"/>
    <col min="27" max="16384" width="9.140625" style="62"/>
  </cols>
  <sheetData>
    <row r="2" spans="1:26" s="64" customFormat="1" ht="11.25">
      <c r="A2" s="43"/>
      <c r="B2" s="1"/>
      <c r="C2" s="1"/>
      <c r="D2" s="1"/>
      <c r="E2" s="1"/>
      <c r="F2" s="265"/>
      <c r="G2" s="32"/>
      <c r="H2" s="2"/>
      <c r="I2" s="43"/>
      <c r="J2" s="86"/>
      <c r="K2" s="86"/>
      <c r="L2" s="2"/>
      <c r="M2" s="2"/>
      <c r="N2" s="2"/>
      <c r="O2" s="43"/>
      <c r="P2" s="112"/>
      <c r="Q2" s="76"/>
      <c r="R2" s="76"/>
      <c r="S2" s="76"/>
      <c r="T2" s="76"/>
      <c r="U2" s="590" t="s">
        <v>0</v>
      </c>
      <c r="V2" s="590"/>
      <c r="W2" s="590"/>
      <c r="X2" s="590"/>
      <c r="Y2" s="590"/>
      <c r="Z2" s="590"/>
    </row>
    <row r="3" spans="1:26" s="64" customFormat="1" ht="11.25">
      <c r="A3" s="43"/>
      <c r="B3" s="1"/>
      <c r="C3" s="1"/>
      <c r="D3" s="1"/>
      <c r="E3" s="1"/>
      <c r="F3" s="265"/>
      <c r="G3" s="32"/>
      <c r="H3" s="2"/>
      <c r="I3" s="43"/>
      <c r="J3" s="86"/>
      <c r="K3" s="86"/>
      <c r="L3" s="2"/>
      <c r="M3" s="2"/>
      <c r="N3" s="2"/>
      <c r="O3" s="43"/>
      <c r="P3" s="112"/>
      <c r="Q3" s="76"/>
      <c r="R3" s="76"/>
      <c r="S3" s="76"/>
      <c r="T3" s="76"/>
      <c r="U3" s="590" t="s">
        <v>1</v>
      </c>
      <c r="V3" s="590"/>
      <c r="W3" s="590"/>
      <c r="X3" s="590"/>
      <c r="Y3" s="590"/>
      <c r="Z3" s="590"/>
    </row>
    <row r="4" spans="1:26" s="64" customFormat="1" ht="11.25">
      <c r="A4" s="43"/>
      <c r="B4" s="1"/>
      <c r="C4" s="1"/>
      <c r="D4" s="1"/>
      <c r="E4" s="1"/>
      <c r="F4" s="265"/>
      <c r="G4" s="32"/>
      <c r="H4" s="2"/>
      <c r="I4" s="43"/>
      <c r="J4" s="86"/>
      <c r="K4" s="86"/>
      <c r="L4" s="2"/>
      <c r="M4" s="2"/>
      <c r="N4" s="2"/>
      <c r="O4" s="43"/>
      <c r="P4" s="112"/>
      <c r="Q4" s="76"/>
      <c r="R4" s="76"/>
      <c r="S4" s="76"/>
      <c r="T4" s="76"/>
      <c r="U4" s="590" t="s">
        <v>2</v>
      </c>
      <c r="V4" s="590"/>
      <c r="W4" s="590"/>
      <c r="X4" s="590"/>
      <c r="Y4" s="590"/>
      <c r="Z4" s="590"/>
    </row>
    <row r="5" spans="1:26" s="64" customFormat="1" ht="11.25">
      <c r="A5" s="43"/>
      <c r="B5" s="1"/>
      <c r="C5" s="1"/>
      <c r="D5" s="1"/>
      <c r="E5" s="1"/>
      <c r="F5" s="265"/>
      <c r="G5" s="32"/>
      <c r="H5" s="2"/>
      <c r="I5" s="43"/>
      <c r="J5" s="86"/>
      <c r="K5" s="86"/>
      <c r="L5" s="2"/>
      <c r="M5" s="2"/>
      <c r="N5" s="2"/>
      <c r="O5" s="43"/>
      <c r="P5" s="112"/>
      <c r="Q5" s="76"/>
      <c r="R5" s="76"/>
      <c r="S5" s="76"/>
      <c r="T5" s="76"/>
      <c r="U5" s="590" t="s">
        <v>3</v>
      </c>
      <c r="V5" s="590"/>
      <c r="W5" s="590"/>
      <c r="X5" s="590"/>
      <c r="Y5" s="590"/>
      <c r="Z5" s="590"/>
    </row>
    <row r="6" spans="1:26" s="64" customFormat="1" ht="11.25">
      <c r="A6" s="43"/>
      <c r="B6" s="1"/>
      <c r="C6" s="1"/>
      <c r="D6" s="1"/>
      <c r="E6" s="1"/>
      <c r="F6" s="265"/>
      <c r="G6" s="32"/>
      <c r="H6" s="2"/>
      <c r="I6" s="43"/>
      <c r="J6" s="86"/>
      <c r="K6" s="86"/>
      <c r="L6" s="2"/>
      <c r="M6" s="2"/>
      <c r="N6" s="2"/>
      <c r="O6" s="43"/>
      <c r="P6" s="112"/>
      <c r="Q6" s="76"/>
      <c r="R6" s="76"/>
      <c r="S6" s="76"/>
      <c r="T6" s="76"/>
      <c r="U6" s="77"/>
      <c r="V6" s="77"/>
      <c r="W6" s="78"/>
      <c r="X6" s="78"/>
      <c r="Y6" s="78"/>
      <c r="Z6" s="78"/>
    </row>
    <row r="7" spans="1:26" s="64" customFormat="1" ht="11.25">
      <c r="A7" s="43"/>
      <c r="B7" s="1"/>
      <c r="C7" s="1"/>
      <c r="D7" s="1"/>
      <c r="E7" s="1"/>
      <c r="F7" s="265"/>
      <c r="G7" s="32"/>
      <c r="H7" s="2"/>
      <c r="I7" s="43"/>
      <c r="J7" s="86"/>
      <c r="K7" s="86"/>
      <c r="L7" s="2"/>
      <c r="M7" s="2"/>
      <c r="N7" s="2"/>
      <c r="O7" s="43"/>
      <c r="P7" s="112"/>
      <c r="Q7" s="76"/>
      <c r="R7" s="76"/>
      <c r="S7" s="76"/>
      <c r="T7" s="76"/>
      <c r="U7" s="590" t="s">
        <v>4</v>
      </c>
      <c r="V7" s="590"/>
      <c r="W7" s="590"/>
      <c r="X7" s="590"/>
      <c r="Y7" s="590"/>
      <c r="Z7" s="590"/>
    </row>
    <row r="8" spans="1:26" s="64" customFormat="1" ht="11.25">
      <c r="A8" s="43"/>
      <c r="B8" s="1"/>
      <c r="C8" s="1"/>
      <c r="D8" s="1"/>
      <c r="E8" s="1"/>
      <c r="F8" s="265"/>
      <c r="G8" s="32"/>
      <c r="H8" s="2"/>
      <c r="I8" s="43"/>
      <c r="J8" s="86"/>
      <c r="K8" s="86"/>
      <c r="L8" s="2"/>
      <c r="M8" s="2"/>
      <c r="N8" s="2"/>
      <c r="O8" s="43"/>
      <c r="P8" s="112"/>
      <c r="Q8" s="76"/>
      <c r="R8" s="76"/>
      <c r="S8" s="76"/>
      <c r="T8" s="76"/>
      <c r="U8" s="590" t="s">
        <v>5</v>
      </c>
      <c r="V8" s="590"/>
      <c r="W8" s="590"/>
      <c r="X8" s="590"/>
      <c r="Y8" s="590"/>
      <c r="Z8" s="590"/>
    </row>
    <row r="9" spans="1:26" s="64" customFormat="1" ht="11.25">
      <c r="A9" s="43"/>
      <c r="B9" s="1"/>
      <c r="C9" s="1"/>
      <c r="D9" s="1"/>
      <c r="E9" s="1"/>
      <c r="F9" s="265"/>
      <c r="G9" s="32"/>
      <c r="H9" s="2"/>
      <c r="I9" s="43"/>
      <c r="J9" s="86"/>
      <c r="K9" s="86"/>
      <c r="L9" s="2"/>
      <c r="M9" s="2"/>
      <c r="N9" s="2"/>
      <c r="O9" s="43"/>
      <c r="P9" s="112"/>
      <c r="Q9" s="76"/>
      <c r="R9" s="76"/>
      <c r="S9" s="76"/>
      <c r="T9" s="76"/>
      <c r="U9" s="76"/>
      <c r="V9" s="76"/>
      <c r="W9" s="76"/>
      <c r="X9" s="76"/>
      <c r="Y9" s="131"/>
      <c r="Z9" s="76"/>
    </row>
    <row r="10" spans="1:26" s="64" customFormat="1" ht="11.25">
      <c r="A10" s="7"/>
      <c r="B10" s="3"/>
      <c r="C10" s="3"/>
      <c r="D10" s="3"/>
      <c r="E10" s="3"/>
      <c r="F10" s="591" t="s">
        <v>142</v>
      </c>
      <c r="G10" s="591"/>
      <c r="H10" s="591"/>
      <c r="I10" s="591"/>
      <c r="J10" s="591"/>
      <c r="K10" s="591"/>
      <c r="L10" s="591"/>
      <c r="M10" s="591"/>
      <c r="N10" s="591"/>
      <c r="O10" s="591"/>
      <c r="P10" s="591"/>
      <c r="Q10" s="591"/>
      <c r="R10" s="591"/>
      <c r="S10" s="591"/>
      <c r="T10" s="591"/>
      <c r="U10" s="591"/>
      <c r="V10" s="591"/>
      <c r="W10" s="591"/>
      <c r="X10" s="591"/>
      <c r="Y10" s="79"/>
      <c r="Z10" s="79"/>
    </row>
    <row r="11" spans="1:26" s="64" customFormat="1" ht="15.75" customHeight="1">
      <c r="A11" s="7"/>
      <c r="B11" s="3"/>
      <c r="C11" s="3"/>
      <c r="D11" s="3"/>
      <c r="E11" s="3"/>
      <c r="F11" s="266"/>
      <c r="G11" s="33"/>
      <c r="H11" s="4"/>
      <c r="I11" s="7"/>
      <c r="J11" s="87"/>
      <c r="K11" s="87"/>
      <c r="L11" s="5"/>
      <c r="M11" s="5"/>
      <c r="N11" s="6"/>
      <c r="O11" s="6"/>
      <c r="P11" s="113"/>
      <c r="Q11" s="79"/>
      <c r="R11" s="79"/>
      <c r="S11" s="80"/>
      <c r="T11" s="79"/>
      <c r="U11" s="79"/>
      <c r="V11" s="81"/>
      <c r="W11" s="79"/>
      <c r="X11" s="79"/>
      <c r="Y11" s="82" t="s">
        <v>6</v>
      </c>
      <c r="Z11" s="82"/>
    </row>
    <row r="12" spans="1:26" s="64" customFormat="1" ht="11.25">
      <c r="A12" s="592" t="s">
        <v>7</v>
      </c>
      <c r="B12" s="592" t="s">
        <v>8</v>
      </c>
      <c r="C12" s="592" t="s">
        <v>9</v>
      </c>
      <c r="D12" s="592" t="s">
        <v>10</v>
      </c>
      <c r="E12" s="594" t="s">
        <v>11</v>
      </c>
      <c r="F12" s="596" t="s">
        <v>12</v>
      </c>
      <c r="G12" s="598" t="s">
        <v>13</v>
      </c>
      <c r="H12" s="598"/>
      <c r="I12" s="592" t="s">
        <v>14</v>
      </c>
      <c r="J12" s="599" t="s">
        <v>15</v>
      </c>
      <c r="K12" s="599"/>
      <c r="L12" s="592" t="s">
        <v>16</v>
      </c>
      <c r="M12" s="611" t="s">
        <v>17</v>
      </c>
      <c r="N12" s="592" t="s">
        <v>18</v>
      </c>
      <c r="O12" s="592" t="s">
        <v>19</v>
      </c>
      <c r="P12" s="592" t="s">
        <v>20</v>
      </c>
      <c r="Q12" s="608" t="s">
        <v>127</v>
      </c>
      <c r="R12" s="600" t="s">
        <v>21</v>
      </c>
      <c r="S12" s="600"/>
      <c r="T12" s="600"/>
      <c r="U12" s="601" t="s">
        <v>22</v>
      </c>
      <c r="V12" s="602"/>
      <c r="W12" s="602"/>
      <c r="X12" s="602"/>
      <c r="Y12" s="602"/>
      <c r="Z12" s="603"/>
    </row>
    <row r="13" spans="1:26" s="64" customFormat="1" ht="11.25">
      <c r="A13" s="593"/>
      <c r="B13" s="593"/>
      <c r="C13" s="593"/>
      <c r="D13" s="593"/>
      <c r="E13" s="595"/>
      <c r="F13" s="597"/>
      <c r="G13" s="598"/>
      <c r="H13" s="598"/>
      <c r="I13" s="593"/>
      <c r="J13" s="346" t="s">
        <v>23</v>
      </c>
      <c r="K13" s="346" t="s">
        <v>24</v>
      </c>
      <c r="L13" s="593"/>
      <c r="M13" s="612"/>
      <c r="N13" s="593"/>
      <c r="O13" s="593"/>
      <c r="P13" s="593"/>
      <c r="Q13" s="609"/>
      <c r="R13" s="604" t="s">
        <v>25</v>
      </c>
      <c r="S13" s="606" t="s">
        <v>26</v>
      </c>
      <c r="T13" s="607"/>
      <c r="U13" s="608" t="s">
        <v>25</v>
      </c>
      <c r="V13" s="606" t="s">
        <v>26</v>
      </c>
      <c r="W13" s="610"/>
      <c r="X13" s="610"/>
      <c r="Y13" s="610"/>
      <c r="Z13" s="607"/>
    </row>
    <row r="14" spans="1:26" s="64" customFormat="1" ht="31.5" customHeight="1">
      <c r="A14" s="593"/>
      <c r="B14" s="593"/>
      <c r="C14" s="593"/>
      <c r="D14" s="593"/>
      <c r="E14" s="595"/>
      <c r="F14" s="597"/>
      <c r="G14" s="341" t="s">
        <v>27</v>
      </c>
      <c r="H14" s="341" t="s">
        <v>28</v>
      </c>
      <c r="I14" s="593"/>
      <c r="J14" s="42" t="s">
        <v>29</v>
      </c>
      <c r="K14" s="42" t="s">
        <v>29</v>
      </c>
      <c r="L14" s="593"/>
      <c r="M14" s="612"/>
      <c r="N14" s="593"/>
      <c r="O14" s="593"/>
      <c r="P14" s="593"/>
      <c r="Q14" s="609"/>
      <c r="R14" s="605"/>
      <c r="S14" s="343" t="s">
        <v>30</v>
      </c>
      <c r="T14" s="343" t="s">
        <v>31</v>
      </c>
      <c r="U14" s="609"/>
      <c r="V14" s="343" t="s">
        <v>32</v>
      </c>
      <c r="W14" s="348" t="s">
        <v>33</v>
      </c>
      <c r="X14" s="348" t="s">
        <v>34</v>
      </c>
      <c r="Y14" s="348" t="s">
        <v>31</v>
      </c>
      <c r="Z14" s="125" t="s">
        <v>110</v>
      </c>
    </row>
    <row r="15" spans="1:26" s="64" customFormat="1" ht="11.25">
      <c r="A15" s="340"/>
      <c r="B15" s="340"/>
      <c r="C15" s="340"/>
      <c r="D15" s="340"/>
      <c r="E15" s="342"/>
      <c r="F15" s="345"/>
      <c r="G15" s="341"/>
      <c r="H15" s="341"/>
      <c r="I15" s="340"/>
      <c r="J15" s="42"/>
      <c r="K15" s="42"/>
      <c r="L15" s="340"/>
      <c r="M15" s="347"/>
      <c r="N15" s="340"/>
      <c r="O15" s="340"/>
      <c r="P15" s="340"/>
      <c r="Q15" s="344"/>
      <c r="R15" s="349"/>
      <c r="S15" s="343"/>
      <c r="T15" s="343"/>
      <c r="U15" s="344"/>
      <c r="V15" s="343"/>
      <c r="W15" s="348"/>
      <c r="X15" s="348"/>
      <c r="Y15" s="348"/>
      <c r="Z15" s="125"/>
    </row>
    <row r="16" spans="1:26" s="65" customFormat="1" outlineLevel="1">
      <c r="A16" s="44"/>
      <c r="B16" s="24"/>
      <c r="C16" s="24"/>
      <c r="D16" s="24"/>
      <c r="E16" s="24" t="s">
        <v>36</v>
      </c>
      <c r="F16" s="267"/>
      <c r="G16" s="29"/>
      <c r="H16" s="24"/>
      <c r="I16" s="44"/>
      <c r="J16" s="44"/>
      <c r="K16" s="44"/>
      <c r="L16" s="24"/>
      <c r="M16" s="24"/>
      <c r="N16" s="24"/>
      <c r="O16" s="44"/>
      <c r="P16" s="114"/>
      <c r="Q16" s="46"/>
      <c r="R16" s="46"/>
      <c r="S16" s="46"/>
      <c r="T16" s="46"/>
      <c r="U16" s="46"/>
      <c r="V16" s="46"/>
      <c r="W16" s="46"/>
      <c r="X16" s="46"/>
      <c r="Y16" s="46"/>
      <c r="Z16" s="126"/>
    </row>
    <row r="17" spans="1:26" s="65" customFormat="1" ht="90" outlineLevel="1" collapsed="1">
      <c r="A17" s="44"/>
      <c r="B17" s="24"/>
      <c r="C17" s="24"/>
      <c r="D17" s="24"/>
      <c r="E17" s="24" t="s">
        <v>51</v>
      </c>
      <c r="F17" s="267"/>
      <c r="G17" s="29"/>
      <c r="H17" s="24"/>
      <c r="I17" s="44"/>
      <c r="J17" s="44"/>
      <c r="K17" s="45"/>
      <c r="L17" s="29" t="str">
        <f>CONCATENATE(E18," ",N18,M18," ",E19," ",N19,M19," ",E20," ",N20,M20," ",E21," ",N21,M21," ",E23," ",N23,M23," ",E24," ",N24,M24," ",E26," ",N26,M26," ",E25," ",N25,M25)</f>
        <v>Замена опор шт. Замена изоляторов фарфоровых/стеклянных на полимерные шт. Расчистка просеки га. Механизированная расчистка просеки га. Ремонт фундаментов шт. Восстановление обрешетки металлических опор шт. Бурение скважин и установка  деревянных приставок шт. Монтаж грозотроса (Установка заземлителей) км.</v>
      </c>
      <c r="M17" s="24"/>
      <c r="N17" s="24"/>
      <c r="O17" s="49"/>
      <c r="P17" s="49"/>
      <c r="Q17" s="49"/>
      <c r="R17" s="49"/>
      <c r="S17" s="49"/>
      <c r="T17" s="49"/>
      <c r="U17" s="49"/>
      <c r="V17" s="49"/>
      <c r="W17" s="49"/>
      <c r="X17" s="49"/>
      <c r="Y17" s="49"/>
      <c r="Z17" s="49"/>
    </row>
    <row r="18" spans="1:26" s="65" customFormat="1" hidden="1" outlineLevel="2">
      <c r="A18" s="73"/>
      <c r="B18" s="53"/>
      <c r="C18" s="53"/>
      <c r="D18" s="53"/>
      <c r="E18" s="53" t="s">
        <v>39</v>
      </c>
      <c r="F18" s="268"/>
      <c r="G18" s="54"/>
      <c r="H18" s="53"/>
      <c r="I18" s="73"/>
      <c r="J18" s="73"/>
      <c r="K18" s="17"/>
      <c r="L18" s="54"/>
      <c r="M18" s="53" t="s">
        <v>37</v>
      </c>
      <c r="N18" s="162"/>
      <c r="O18" s="162"/>
      <c r="P18" s="162"/>
      <c r="Q18" s="162"/>
      <c r="R18" s="162"/>
      <c r="S18" s="162"/>
      <c r="T18" s="162"/>
      <c r="U18" s="162"/>
      <c r="V18" s="162"/>
      <c r="W18" s="162"/>
      <c r="X18" s="162"/>
      <c r="Y18" s="162"/>
      <c r="Z18" s="162"/>
    </row>
    <row r="19" spans="1:26" s="65" customFormat="1" hidden="1" outlineLevel="2">
      <c r="A19" s="73"/>
      <c r="B19" s="53"/>
      <c r="C19" s="53"/>
      <c r="D19" s="53"/>
      <c r="E19" s="53" t="s">
        <v>80</v>
      </c>
      <c r="F19" s="268"/>
      <c r="G19" s="54"/>
      <c r="H19" s="53"/>
      <c r="I19" s="73"/>
      <c r="J19" s="73"/>
      <c r="K19" s="17"/>
      <c r="L19" s="54"/>
      <c r="M19" s="53" t="s">
        <v>37</v>
      </c>
      <c r="N19" s="162"/>
      <c r="O19" s="162"/>
      <c r="P19" s="162"/>
      <c r="Q19" s="162"/>
      <c r="R19" s="162"/>
      <c r="S19" s="162"/>
      <c r="T19" s="162"/>
      <c r="U19" s="162"/>
      <c r="V19" s="162"/>
      <c r="W19" s="162"/>
      <c r="X19" s="162"/>
      <c r="Y19" s="162"/>
      <c r="Z19" s="162"/>
    </row>
    <row r="20" spans="1:26" s="65" customFormat="1" hidden="1" outlineLevel="2">
      <c r="A20" s="73"/>
      <c r="B20" s="53"/>
      <c r="C20" s="53"/>
      <c r="D20" s="53"/>
      <c r="E20" s="53" t="s">
        <v>94</v>
      </c>
      <c r="F20" s="268"/>
      <c r="G20" s="54"/>
      <c r="H20" s="53"/>
      <c r="I20" s="73"/>
      <c r="J20" s="73"/>
      <c r="K20" s="17"/>
      <c r="L20" s="54"/>
      <c r="M20" s="53" t="s">
        <v>95</v>
      </c>
      <c r="N20" s="162"/>
      <c r="O20" s="162"/>
      <c r="P20" s="162"/>
      <c r="Q20" s="162"/>
      <c r="R20" s="162"/>
      <c r="S20" s="162"/>
      <c r="T20" s="162"/>
      <c r="U20" s="162"/>
      <c r="V20" s="162"/>
      <c r="W20" s="162"/>
      <c r="X20" s="162"/>
      <c r="Y20" s="162"/>
      <c r="Z20" s="162"/>
    </row>
    <row r="21" spans="1:26" s="65" customFormat="1" hidden="1" outlineLevel="2">
      <c r="A21" s="73"/>
      <c r="B21" s="53"/>
      <c r="C21" s="53"/>
      <c r="D21" s="53"/>
      <c r="E21" s="53" t="s">
        <v>104</v>
      </c>
      <c r="F21" s="268"/>
      <c r="G21" s="54"/>
      <c r="H21" s="53"/>
      <c r="I21" s="73"/>
      <c r="J21" s="73"/>
      <c r="K21" s="17"/>
      <c r="L21" s="54"/>
      <c r="M21" s="53" t="s">
        <v>95</v>
      </c>
      <c r="N21" s="162"/>
      <c r="O21" s="162"/>
      <c r="P21" s="162"/>
      <c r="Q21" s="162"/>
      <c r="R21" s="162"/>
      <c r="S21" s="162"/>
      <c r="T21" s="162"/>
      <c r="U21" s="162"/>
      <c r="V21" s="162"/>
      <c r="W21" s="162"/>
      <c r="X21" s="162"/>
      <c r="Y21" s="162"/>
      <c r="Z21" s="162"/>
    </row>
    <row r="22" spans="1:26" s="65" customFormat="1" hidden="1" outlineLevel="2">
      <c r="A22" s="73"/>
      <c r="B22" s="53"/>
      <c r="C22" s="53"/>
      <c r="D22" s="53"/>
      <c r="E22" s="154" t="s">
        <v>116</v>
      </c>
      <c r="F22" s="268"/>
      <c r="G22" s="54"/>
      <c r="H22" s="53"/>
      <c r="I22" s="73"/>
      <c r="J22" s="73"/>
      <c r="K22" s="17"/>
      <c r="L22" s="54"/>
      <c r="M22" s="53" t="s">
        <v>95</v>
      </c>
      <c r="N22" s="162"/>
      <c r="O22" s="162"/>
      <c r="P22" s="162"/>
      <c r="Q22" s="162"/>
      <c r="R22" s="162"/>
      <c r="S22" s="162"/>
      <c r="T22" s="162"/>
      <c r="U22" s="162"/>
      <c r="V22" s="162"/>
      <c r="W22" s="162"/>
      <c r="X22" s="162"/>
      <c r="Y22" s="162"/>
      <c r="Z22" s="162"/>
    </row>
    <row r="23" spans="1:26" s="65" customFormat="1" hidden="1" outlineLevel="2">
      <c r="A23" s="73"/>
      <c r="B23" s="53"/>
      <c r="C23" s="53"/>
      <c r="D23" s="53"/>
      <c r="E23" s="53" t="s">
        <v>115</v>
      </c>
      <c r="F23" s="268"/>
      <c r="G23" s="54"/>
      <c r="H23" s="53"/>
      <c r="I23" s="73"/>
      <c r="J23" s="73"/>
      <c r="K23" s="17"/>
      <c r="L23" s="54"/>
      <c r="M23" s="53" t="s">
        <v>37</v>
      </c>
      <c r="N23" s="162"/>
      <c r="O23" s="162"/>
      <c r="P23" s="162"/>
      <c r="Q23" s="162"/>
      <c r="R23" s="162"/>
      <c r="S23" s="162"/>
      <c r="T23" s="162"/>
      <c r="U23" s="162"/>
      <c r="V23" s="162"/>
      <c r="W23" s="162"/>
      <c r="X23" s="162"/>
      <c r="Y23" s="162"/>
      <c r="Z23" s="162"/>
    </row>
    <row r="24" spans="1:26" s="65" customFormat="1" hidden="1" outlineLevel="2">
      <c r="A24" s="73"/>
      <c r="B24" s="53"/>
      <c r="C24" s="53"/>
      <c r="D24" s="53"/>
      <c r="E24" s="53" t="s">
        <v>81</v>
      </c>
      <c r="F24" s="268"/>
      <c r="G24" s="54"/>
      <c r="H24" s="53"/>
      <c r="I24" s="73"/>
      <c r="J24" s="73"/>
      <c r="K24" s="17"/>
      <c r="L24" s="54"/>
      <c r="M24" s="53" t="s">
        <v>37</v>
      </c>
      <c r="N24" s="162"/>
      <c r="O24" s="94"/>
      <c r="P24" s="94"/>
      <c r="Q24" s="162"/>
      <c r="R24" s="94"/>
      <c r="S24" s="94"/>
      <c r="T24" s="94"/>
      <c r="U24" s="94"/>
      <c r="V24" s="94"/>
      <c r="W24" s="94"/>
      <c r="X24" s="162"/>
      <c r="Y24" s="94"/>
      <c r="Z24" s="127"/>
    </row>
    <row r="25" spans="1:26" s="65" customFormat="1" hidden="1" outlineLevel="2">
      <c r="A25" s="73"/>
      <c r="B25" s="53"/>
      <c r="C25" s="53"/>
      <c r="D25" s="53"/>
      <c r="E25" s="53" t="s">
        <v>111</v>
      </c>
      <c r="F25" s="268"/>
      <c r="G25" s="54"/>
      <c r="H25" s="53"/>
      <c r="I25" s="73"/>
      <c r="J25" s="73"/>
      <c r="K25" s="17"/>
      <c r="L25" s="54"/>
      <c r="M25" s="53" t="s">
        <v>43</v>
      </c>
      <c r="N25" s="162"/>
      <c r="O25" s="162"/>
      <c r="P25" s="162"/>
      <c r="Q25" s="162"/>
      <c r="R25" s="162"/>
      <c r="S25" s="162"/>
      <c r="T25" s="162"/>
      <c r="U25" s="162"/>
      <c r="V25" s="162"/>
      <c r="W25" s="162"/>
      <c r="X25" s="162"/>
      <c r="Y25" s="162"/>
      <c r="Z25" s="162"/>
    </row>
    <row r="26" spans="1:26" s="65" customFormat="1" hidden="1" outlineLevel="2">
      <c r="A26" s="73"/>
      <c r="B26" s="53"/>
      <c r="C26" s="53"/>
      <c r="D26" s="53"/>
      <c r="E26" s="53" t="s">
        <v>82</v>
      </c>
      <c r="F26" s="268"/>
      <c r="G26" s="54"/>
      <c r="H26" s="53"/>
      <c r="I26" s="73"/>
      <c r="J26" s="73"/>
      <c r="K26" s="17"/>
      <c r="L26" s="54"/>
      <c r="M26" s="53" t="s">
        <v>37</v>
      </c>
      <c r="N26" s="162"/>
      <c r="O26" s="162"/>
      <c r="P26" s="162"/>
      <c r="Q26" s="162"/>
      <c r="R26" s="162"/>
      <c r="S26" s="162"/>
      <c r="T26" s="162"/>
      <c r="U26" s="162"/>
      <c r="V26" s="162"/>
      <c r="W26" s="162"/>
      <c r="X26" s="162"/>
      <c r="Y26" s="162"/>
      <c r="Z26" s="162"/>
    </row>
    <row r="27" spans="1:26" s="65" customFormat="1" hidden="1" outlineLevel="2">
      <c r="A27" s="73"/>
      <c r="B27" s="53"/>
      <c r="C27" s="53"/>
      <c r="D27" s="53"/>
      <c r="E27" s="53" t="s">
        <v>109</v>
      </c>
      <c r="F27" s="268"/>
      <c r="G27" s="54"/>
      <c r="H27" s="53"/>
      <c r="I27" s="73"/>
      <c r="J27" s="73"/>
      <c r="K27" s="17"/>
      <c r="L27" s="54"/>
      <c r="M27" s="53" t="s">
        <v>37</v>
      </c>
      <c r="N27" s="162"/>
      <c r="O27" s="162"/>
      <c r="P27" s="162"/>
      <c r="Q27" s="162"/>
      <c r="R27" s="162"/>
      <c r="S27" s="162"/>
      <c r="T27" s="162"/>
      <c r="U27" s="162"/>
      <c r="V27" s="162"/>
      <c r="W27" s="162"/>
      <c r="X27" s="162"/>
      <c r="Y27" s="162"/>
      <c r="Z27" s="132"/>
    </row>
    <row r="28" spans="1:26" s="65" customFormat="1" ht="75" outlineLevel="1" collapsed="1">
      <c r="A28" s="44"/>
      <c r="B28" s="24"/>
      <c r="C28" s="24"/>
      <c r="D28" s="24"/>
      <c r="E28" s="24" t="s">
        <v>52</v>
      </c>
      <c r="F28" s="267"/>
      <c r="G28" s="29"/>
      <c r="H28" s="24"/>
      <c r="I28" s="44"/>
      <c r="J28" s="44"/>
      <c r="K28" s="45"/>
      <c r="L28" s="29" t="str">
        <f>CONCATENATE(E29," ",N29,M29," ",E30," ",N30,M30," ",E31," ",N31,M31," ",E32," ",N32,M32," ",E33," ",N33,M33," ",E34," ",N34,M34," ",E35," ",N35,M35)</f>
        <v>Замена опор шт. Замена изоляторов фарфоровых/стеклянных на полимерные шт. Расчистка просеки га. Механизированная расчистка просеки га. Бурение скважин и установка ж/б приставок шт. Бурение скважин и установка  деревянных приставок шт. Монтаж траверсы шт.</v>
      </c>
      <c r="M28" s="24"/>
      <c r="N28" s="24"/>
      <c r="O28" s="49"/>
      <c r="P28" s="49"/>
      <c r="Q28" s="49"/>
      <c r="R28" s="49"/>
      <c r="S28" s="49"/>
      <c r="T28" s="49"/>
      <c r="U28" s="49"/>
      <c r="V28" s="49"/>
      <c r="W28" s="49"/>
      <c r="X28" s="49"/>
      <c r="Y28" s="49"/>
      <c r="Z28" s="49"/>
    </row>
    <row r="29" spans="1:26" s="65" customFormat="1" hidden="1" outlineLevel="2">
      <c r="A29" s="73"/>
      <c r="B29" s="53"/>
      <c r="C29" s="53"/>
      <c r="D29" s="53"/>
      <c r="E29" s="53" t="s">
        <v>39</v>
      </c>
      <c r="F29" s="268"/>
      <c r="G29" s="54"/>
      <c r="H29" s="53"/>
      <c r="I29" s="73"/>
      <c r="J29" s="73"/>
      <c r="K29" s="17"/>
      <c r="L29" s="54"/>
      <c r="M29" s="53" t="s">
        <v>37</v>
      </c>
      <c r="N29" s="162"/>
      <c r="O29" s="162"/>
      <c r="P29" s="162"/>
      <c r="Q29" s="162"/>
      <c r="R29" s="162"/>
      <c r="S29" s="162"/>
      <c r="T29" s="162"/>
      <c r="U29" s="162"/>
      <c r="V29" s="162"/>
      <c r="W29" s="162"/>
      <c r="X29" s="162"/>
      <c r="Y29" s="162"/>
      <c r="Z29" s="162"/>
    </row>
    <row r="30" spans="1:26" s="65" customFormat="1" hidden="1" outlineLevel="2">
      <c r="A30" s="73"/>
      <c r="B30" s="53"/>
      <c r="C30" s="53"/>
      <c r="D30" s="53"/>
      <c r="E30" s="53" t="s">
        <v>80</v>
      </c>
      <c r="F30" s="268"/>
      <c r="G30" s="54"/>
      <c r="H30" s="53"/>
      <c r="I30" s="73"/>
      <c r="J30" s="73"/>
      <c r="K30" s="17"/>
      <c r="L30" s="54"/>
      <c r="M30" s="53" t="s">
        <v>37</v>
      </c>
      <c r="N30" s="162"/>
      <c r="O30" s="162"/>
      <c r="P30" s="162"/>
      <c r="Q30" s="162"/>
      <c r="R30" s="162"/>
      <c r="S30" s="162"/>
      <c r="T30" s="162"/>
      <c r="U30" s="162"/>
      <c r="V30" s="162"/>
      <c r="W30" s="162"/>
      <c r="X30" s="162"/>
      <c r="Y30" s="162"/>
      <c r="Z30" s="162"/>
    </row>
    <row r="31" spans="1:26" s="65" customFormat="1" hidden="1" outlineLevel="2">
      <c r="A31" s="73"/>
      <c r="B31" s="53"/>
      <c r="C31" s="53"/>
      <c r="D31" s="53"/>
      <c r="E31" s="53" t="s">
        <v>94</v>
      </c>
      <c r="F31" s="268"/>
      <c r="G31" s="54"/>
      <c r="H31" s="53"/>
      <c r="I31" s="73"/>
      <c r="J31" s="73"/>
      <c r="K31" s="17"/>
      <c r="L31" s="54"/>
      <c r="M31" s="53" t="s">
        <v>95</v>
      </c>
      <c r="N31" s="162"/>
      <c r="O31" s="162"/>
      <c r="P31" s="162"/>
      <c r="Q31" s="162"/>
      <c r="R31" s="162"/>
      <c r="S31" s="162"/>
      <c r="T31" s="162"/>
      <c r="U31" s="162"/>
      <c r="V31" s="162"/>
      <c r="W31" s="162"/>
      <c r="X31" s="162"/>
      <c r="Y31" s="162"/>
      <c r="Z31" s="162"/>
    </row>
    <row r="32" spans="1:26" s="65" customFormat="1" hidden="1" outlineLevel="2">
      <c r="A32" s="73"/>
      <c r="B32" s="53"/>
      <c r="C32" s="53"/>
      <c r="D32" s="53"/>
      <c r="E32" s="53" t="s">
        <v>104</v>
      </c>
      <c r="F32" s="268"/>
      <c r="G32" s="54"/>
      <c r="H32" s="53"/>
      <c r="I32" s="73"/>
      <c r="J32" s="73"/>
      <c r="K32" s="17"/>
      <c r="L32" s="54"/>
      <c r="M32" s="53" t="s">
        <v>95</v>
      </c>
      <c r="N32" s="162"/>
      <c r="O32" s="162"/>
      <c r="P32" s="162"/>
      <c r="Q32" s="162"/>
      <c r="R32" s="162"/>
      <c r="S32" s="162"/>
      <c r="T32" s="162"/>
      <c r="U32" s="162"/>
      <c r="V32" s="162"/>
      <c r="W32" s="162"/>
      <c r="X32" s="162"/>
      <c r="Y32" s="162"/>
      <c r="Z32" s="162"/>
    </row>
    <row r="33" spans="1:26" s="65" customFormat="1" hidden="1" outlineLevel="2">
      <c r="A33" s="73"/>
      <c r="B33" s="53"/>
      <c r="C33" s="53"/>
      <c r="D33" s="53"/>
      <c r="E33" s="53" t="s">
        <v>83</v>
      </c>
      <c r="F33" s="268"/>
      <c r="G33" s="54"/>
      <c r="H33" s="53"/>
      <c r="I33" s="73"/>
      <c r="J33" s="73"/>
      <c r="K33" s="17"/>
      <c r="L33" s="54"/>
      <c r="M33" s="53" t="s">
        <v>37</v>
      </c>
      <c r="N33" s="162"/>
      <c r="O33" s="162"/>
      <c r="P33" s="162"/>
      <c r="Q33" s="162"/>
      <c r="R33" s="162"/>
      <c r="S33" s="162"/>
      <c r="T33" s="162"/>
      <c r="U33" s="162"/>
      <c r="V33" s="162"/>
      <c r="W33" s="162"/>
      <c r="X33" s="162"/>
      <c r="Y33" s="162"/>
      <c r="Z33" s="162"/>
    </row>
    <row r="34" spans="1:26" s="65" customFormat="1" hidden="1" outlineLevel="2">
      <c r="A34" s="73"/>
      <c r="B34" s="53"/>
      <c r="C34" s="53"/>
      <c r="D34" s="53"/>
      <c r="E34" s="53" t="s">
        <v>82</v>
      </c>
      <c r="F34" s="268"/>
      <c r="G34" s="54"/>
      <c r="H34" s="53"/>
      <c r="I34" s="73"/>
      <c r="J34" s="73"/>
      <c r="K34" s="17"/>
      <c r="L34" s="54"/>
      <c r="M34" s="53" t="s">
        <v>37</v>
      </c>
      <c r="N34" s="162"/>
      <c r="O34" s="162"/>
      <c r="P34" s="162"/>
      <c r="Q34" s="162"/>
      <c r="R34" s="162"/>
      <c r="S34" s="162"/>
      <c r="T34" s="162"/>
      <c r="U34" s="162"/>
      <c r="V34" s="162"/>
      <c r="W34" s="162"/>
      <c r="X34" s="162"/>
      <c r="Y34" s="162"/>
      <c r="Z34" s="162"/>
    </row>
    <row r="35" spans="1:26" s="65" customFormat="1" hidden="1" outlineLevel="2">
      <c r="A35" s="73"/>
      <c r="B35" s="53"/>
      <c r="C35" s="53"/>
      <c r="D35" s="53"/>
      <c r="E35" s="53" t="s">
        <v>118</v>
      </c>
      <c r="F35" s="268"/>
      <c r="G35" s="54"/>
      <c r="H35" s="53"/>
      <c r="I35" s="73"/>
      <c r="J35" s="73"/>
      <c r="K35" s="17"/>
      <c r="L35" s="54"/>
      <c r="M35" s="53" t="s">
        <v>37</v>
      </c>
      <c r="N35" s="162"/>
      <c r="O35" s="162"/>
      <c r="P35" s="162"/>
      <c r="Q35" s="162"/>
      <c r="R35" s="162"/>
      <c r="S35" s="162"/>
      <c r="T35" s="162"/>
      <c r="U35" s="162"/>
      <c r="V35" s="162"/>
      <c r="W35" s="162"/>
      <c r="X35" s="162"/>
      <c r="Y35" s="162"/>
      <c r="Z35" s="162"/>
    </row>
    <row r="36" spans="1:26" s="65" customFormat="1" ht="30" outlineLevel="1" collapsed="1">
      <c r="A36" s="44"/>
      <c r="B36" s="24"/>
      <c r="C36" s="24"/>
      <c r="D36" s="24"/>
      <c r="E36" s="24" t="s">
        <v>54</v>
      </c>
      <c r="F36" s="267"/>
      <c r="G36" s="29"/>
      <c r="H36" s="24"/>
      <c r="I36" s="44"/>
      <c r="J36" s="44"/>
      <c r="K36" s="45"/>
      <c r="L36" s="29" t="str">
        <f>CONCATENATE(E37," ",N37,M37," ",E38," ",N38,M38," ",E39," ",N39,M39," ",E41," ",N41,M41,)</f>
        <v>Замена опор шт. Установка, замена РЛНД шт. Монтаж провода (по трассе) км. Монтаж контура заземления шт.</v>
      </c>
      <c r="M36" s="24"/>
      <c r="N36" s="24"/>
      <c r="O36" s="46"/>
      <c r="P36" s="46"/>
      <c r="Q36" s="46"/>
      <c r="R36" s="46"/>
      <c r="S36" s="46"/>
      <c r="T36" s="46"/>
      <c r="U36" s="46"/>
      <c r="V36" s="46"/>
      <c r="W36" s="46"/>
      <c r="X36" s="46"/>
      <c r="Y36" s="46"/>
      <c r="Z36" s="46"/>
    </row>
    <row r="37" spans="1:26" s="65" customFormat="1" hidden="1" outlineLevel="2">
      <c r="A37" s="97"/>
      <c r="B37" s="95"/>
      <c r="C37" s="95"/>
      <c r="D37" s="95"/>
      <c r="E37" s="95" t="s">
        <v>39</v>
      </c>
      <c r="F37" s="269"/>
      <c r="G37" s="96"/>
      <c r="H37" s="95"/>
      <c r="I37" s="97"/>
      <c r="J37" s="97"/>
      <c r="K37" s="39"/>
      <c r="L37" s="96"/>
      <c r="M37" s="95" t="s">
        <v>37</v>
      </c>
      <c r="N37" s="169"/>
      <c r="O37" s="169"/>
      <c r="P37" s="169"/>
      <c r="Q37" s="169"/>
      <c r="R37" s="169"/>
      <c r="S37" s="169"/>
      <c r="T37" s="169"/>
      <c r="U37" s="169"/>
      <c r="V37" s="169"/>
      <c r="W37" s="169"/>
      <c r="X37" s="169"/>
      <c r="Y37" s="169"/>
      <c r="Z37" s="169"/>
    </row>
    <row r="38" spans="1:26" s="65" customFormat="1" hidden="1" outlineLevel="2">
      <c r="A38" s="97"/>
      <c r="B38" s="95"/>
      <c r="C38" s="95"/>
      <c r="D38" s="95"/>
      <c r="E38" s="95" t="s">
        <v>102</v>
      </c>
      <c r="F38" s="269"/>
      <c r="G38" s="96"/>
      <c r="H38" s="95"/>
      <c r="I38" s="97"/>
      <c r="J38" s="97"/>
      <c r="K38" s="39"/>
      <c r="L38" s="96"/>
      <c r="M38" s="95" t="s">
        <v>37</v>
      </c>
      <c r="N38" s="169"/>
      <c r="O38" s="169"/>
      <c r="P38" s="169"/>
      <c r="Q38" s="169"/>
      <c r="R38" s="169"/>
      <c r="S38" s="169"/>
      <c r="T38" s="169"/>
      <c r="U38" s="169"/>
      <c r="V38" s="169"/>
      <c r="W38" s="169"/>
      <c r="X38" s="169"/>
      <c r="Y38" s="169"/>
      <c r="Z38" s="169"/>
    </row>
    <row r="39" spans="1:26" s="65" customFormat="1" hidden="1" outlineLevel="2">
      <c r="A39" s="97"/>
      <c r="B39" s="95"/>
      <c r="C39" s="95"/>
      <c r="D39" s="95"/>
      <c r="E39" s="95" t="s">
        <v>40</v>
      </c>
      <c r="F39" s="269"/>
      <c r="G39" s="96"/>
      <c r="H39" s="95"/>
      <c r="I39" s="97"/>
      <c r="J39" s="97"/>
      <c r="K39" s="39"/>
      <c r="L39" s="96"/>
      <c r="M39" s="95" t="s">
        <v>43</v>
      </c>
      <c r="N39" s="170"/>
      <c r="O39" s="170"/>
      <c r="P39" s="170"/>
      <c r="Q39" s="169"/>
      <c r="R39" s="170"/>
      <c r="S39" s="170"/>
      <c r="T39" s="170"/>
      <c r="U39" s="170"/>
      <c r="V39" s="170"/>
      <c r="W39" s="170"/>
      <c r="X39" s="169"/>
      <c r="Y39" s="170"/>
      <c r="Z39" s="170"/>
    </row>
    <row r="40" spans="1:26" s="65" customFormat="1" hidden="1" outlineLevel="2">
      <c r="A40" s="97"/>
      <c r="B40" s="95"/>
      <c r="C40" s="95"/>
      <c r="D40" s="95"/>
      <c r="E40" s="95" t="s">
        <v>134</v>
      </c>
      <c r="F40" s="269"/>
      <c r="G40" s="96"/>
      <c r="H40" s="95"/>
      <c r="I40" s="97"/>
      <c r="J40" s="97"/>
      <c r="K40" s="39"/>
      <c r="L40" s="96"/>
      <c r="M40" s="95"/>
      <c r="N40" s="170"/>
      <c r="O40" s="170"/>
      <c r="P40" s="170"/>
      <c r="Q40" s="170"/>
      <c r="R40" s="170"/>
      <c r="S40" s="170"/>
      <c r="T40" s="170"/>
      <c r="U40" s="170"/>
      <c r="V40" s="170"/>
      <c r="W40" s="170"/>
      <c r="X40" s="169"/>
      <c r="Y40" s="170"/>
      <c r="Z40" s="170"/>
    </row>
    <row r="41" spans="1:26" s="65" customFormat="1" hidden="1" outlineLevel="2">
      <c r="A41" s="97"/>
      <c r="B41" s="95"/>
      <c r="C41" s="95"/>
      <c r="D41" s="95"/>
      <c r="E41" s="95" t="s">
        <v>96</v>
      </c>
      <c r="F41" s="269"/>
      <c r="G41" s="96"/>
      <c r="H41" s="95"/>
      <c r="I41" s="97"/>
      <c r="J41" s="97"/>
      <c r="K41" s="39"/>
      <c r="L41" s="96"/>
      <c r="M41" s="95" t="s">
        <v>37</v>
      </c>
      <c r="N41" s="169"/>
      <c r="O41" s="169"/>
      <c r="P41" s="169"/>
      <c r="Q41" s="169"/>
      <c r="R41" s="169"/>
      <c r="S41" s="169"/>
      <c r="T41" s="169"/>
      <c r="U41" s="169"/>
      <c r="V41" s="169"/>
      <c r="W41" s="169"/>
      <c r="X41" s="169"/>
      <c r="Y41" s="169"/>
      <c r="Z41" s="169"/>
    </row>
    <row r="42" spans="1:26" s="65" customFormat="1" ht="60" hidden="1" outlineLevel="2">
      <c r="A42" s="97"/>
      <c r="B42" s="95"/>
      <c r="C42" s="95"/>
      <c r="D42" s="95"/>
      <c r="E42" s="96" t="s">
        <v>136</v>
      </c>
      <c r="F42" s="269"/>
      <c r="G42" s="96"/>
      <c r="H42" s="95"/>
      <c r="I42" s="97"/>
      <c r="J42" s="97"/>
      <c r="K42" s="39"/>
      <c r="L42" s="96"/>
      <c r="M42" s="95" t="s">
        <v>37</v>
      </c>
      <c r="N42" s="169"/>
      <c r="O42" s="169"/>
      <c r="P42" s="169"/>
      <c r="Q42" s="169"/>
      <c r="R42" s="169"/>
      <c r="S42" s="169"/>
      <c r="T42" s="169"/>
      <c r="U42" s="169"/>
      <c r="V42" s="169"/>
      <c r="W42" s="169"/>
      <c r="X42" s="169"/>
      <c r="Y42" s="169"/>
      <c r="Z42" s="169"/>
    </row>
    <row r="43" spans="1:26" s="65" customFormat="1" hidden="1" outlineLevel="2">
      <c r="A43" s="97"/>
      <c r="B43" s="95"/>
      <c r="C43" s="95"/>
      <c r="D43" s="95"/>
      <c r="E43" s="95" t="s">
        <v>114</v>
      </c>
      <c r="F43" s="269"/>
      <c r="G43" s="96"/>
      <c r="H43" s="95"/>
      <c r="I43" s="97"/>
      <c r="J43" s="97"/>
      <c r="K43" s="39"/>
      <c r="L43" s="96"/>
      <c r="M43" s="95" t="s">
        <v>95</v>
      </c>
      <c r="N43" s="169"/>
      <c r="O43" s="169"/>
      <c r="P43" s="169"/>
      <c r="Q43" s="169"/>
      <c r="R43" s="169"/>
      <c r="S43" s="169"/>
      <c r="T43" s="169"/>
      <c r="U43" s="169"/>
      <c r="V43" s="169"/>
      <c r="W43" s="169"/>
      <c r="X43" s="169"/>
      <c r="Y43" s="169"/>
      <c r="Z43" s="169"/>
    </row>
    <row r="44" spans="1:26" s="65" customFormat="1" hidden="1" outlineLevel="2">
      <c r="A44" s="97"/>
      <c r="B44" s="95"/>
      <c r="C44" s="95"/>
      <c r="D44" s="95"/>
      <c r="E44" s="95" t="s">
        <v>122</v>
      </c>
      <c r="F44" s="269"/>
      <c r="G44" s="96"/>
      <c r="H44" s="95"/>
      <c r="I44" s="97"/>
      <c r="J44" s="97"/>
      <c r="K44" s="39"/>
      <c r="L44" s="96"/>
      <c r="M44" s="95" t="s">
        <v>37</v>
      </c>
      <c r="N44" s="169"/>
      <c r="O44" s="169"/>
      <c r="P44" s="169"/>
      <c r="Q44" s="169"/>
      <c r="R44" s="169"/>
      <c r="S44" s="169"/>
      <c r="T44" s="169"/>
      <c r="U44" s="169"/>
      <c r="V44" s="169"/>
      <c r="W44" s="169"/>
      <c r="X44" s="169"/>
      <c r="Y44" s="169"/>
      <c r="Z44" s="169"/>
    </row>
    <row r="45" spans="1:26" s="65" customFormat="1" ht="45" outlineLevel="1" collapsed="1">
      <c r="A45" s="44"/>
      <c r="B45" s="24"/>
      <c r="C45" s="24"/>
      <c r="D45" s="24"/>
      <c r="E45" s="24" t="s">
        <v>53</v>
      </c>
      <c r="F45" s="267"/>
      <c r="G45" s="29"/>
      <c r="H45" s="24"/>
      <c r="I45" s="44"/>
      <c r="J45" s="44"/>
      <c r="K45" s="45"/>
      <c r="L45" s="29" t="str">
        <f>CONCATENATE(E46," ",N46,M46," ",E47," ",N47,M47," ",E49," ",N49,M49,E48,E50)</f>
        <v>Замена опор шт. Монтаж провода (по трассе) км. Замена ответвлений к зданиям шт.установка опор Ручная расчистка просеки</v>
      </c>
      <c r="M45" s="24"/>
      <c r="N45" s="30"/>
      <c r="O45" s="46"/>
      <c r="P45" s="114"/>
      <c r="Q45" s="46"/>
      <c r="R45" s="46"/>
      <c r="S45" s="46"/>
      <c r="T45" s="46"/>
      <c r="U45" s="46"/>
      <c r="V45" s="46"/>
      <c r="W45" s="46"/>
      <c r="X45" s="46"/>
      <c r="Y45" s="46"/>
      <c r="Z45" s="46"/>
    </row>
    <row r="46" spans="1:26" s="65" customFormat="1" hidden="1" outlineLevel="2">
      <c r="A46" s="97"/>
      <c r="B46" s="95"/>
      <c r="C46" s="95"/>
      <c r="D46" s="95"/>
      <c r="E46" s="95" t="s">
        <v>39</v>
      </c>
      <c r="F46" s="269"/>
      <c r="G46" s="96"/>
      <c r="H46" s="95"/>
      <c r="I46" s="97"/>
      <c r="J46" s="97"/>
      <c r="K46" s="39"/>
      <c r="L46" s="96"/>
      <c r="M46" s="95" t="s">
        <v>37</v>
      </c>
      <c r="N46" s="169"/>
      <c r="O46" s="169"/>
      <c r="P46" s="169"/>
      <c r="Q46" s="169"/>
      <c r="R46" s="169"/>
      <c r="S46" s="169"/>
      <c r="T46" s="169"/>
      <c r="U46" s="169"/>
      <c r="V46" s="169"/>
      <c r="W46" s="169"/>
      <c r="X46" s="169"/>
      <c r="Y46" s="169"/>
      <c r="Z46" s="169"/>
    </row>
    <row r="47" spans="1:26" s="65" customFormat="1" hidden="1" outlineLevel="2">
      <c r="A47" s="97"/>
      <c r="B47" s="95"/>
      <c r="C47" s="95"/>
      <c r="D47" s="95"/>
      <c r="E47" s="95" t="s">
        <v>40</v>
      </c>
      <c r="F47" s="269"/>
      <c r="G47" s="96"/>
      <c r="H47" s="95"/>
      <c r="I47" s="97"/>
      <c r="J47" s="97"/>
      <c r="K47" s="39"/>
      <c r="L47" s="96"/>
      <c r="M47" s="95" t="s">
        <v>43</v>
      </c>
      <c r="N47" s="171"/>
      <c r="O47" s="171"/>
      <c r="P47" s="171"/>
      <c r="Q47" s="171"/>
      <c r="R47" s="171"/>
      <c r="S47" s="171"/>
      <c r="T47" s="171"/>
      <c r="U47" s="171"/>
      <c r="V47" s="171"/>
      <c r="W47" s="171"/>
      <c r="X47" s="169"/>
      <c r="Y47" s="171"/>
      <c r="Z47" s="171"/>
    </row>
    <row r="48" spans="1:26" s="65" customFormat="1" hidden="1" outlineLevel="2">
      <c r="A48" s="97"/>
      <c r="B48" s="95"/>
      <c r="C48" s="95"/>
      <c r="D48" s="95"/>
      <c r="E48" s="95" t="s">
        <v>135</v>
      </c>
      <c r="F48" s="269"/>
      <c r="G48" s="96"/>
      <c r="H48" s="95"/>
      <c r="I48" s="97"/>
      <c r="J48" s="97"/>
      <c r="K48" s="39"/>
      <c r="L48" s="96"/>
      <c r="M48" s="95"/>
      <c r="N48" s="171"/>
      <c r="O48" s="171"/>
      <c r="P48" s="171"/>
      <c r="Q48" s="171"/>
      <c r="R48" s="171"/>
      <c r="S48" s="171"/>
      <c r="T48" s="171"/>
      <c r="U48" s="171"/>
      <c r="V48" s="171"/>
      <c r="W48" s="171"/>
      <c r="X48" s="169"/>
      <c r="Y48" s="171"/>
      <c r="Z48" s="171"/>
    </row>
    <row r="49" spans="1:26" s="65" customFormat="1" hidden="1" outlineLevel="2">
      <c r="A49" s="97"/>
      <c r="B49" s="95"/>
      <c r="C49" s="95"/>
      <c r="D49" s="95"/>
      <c r="E49" s="95" t="s">
        <v>42</v>
      </c>
      <c r="F49" s="269"/>
      <c r="G49" s="96"/>
      <c r="H49" s="95"/>
      <c r="I49" s="97"/>
      <c r="J49" s="97"/>
      <c r="K49" s="39"/>
      <c r="L49" s="96"/>
      <c r="M49" s="95" t="s">
        <v>37</v>
      </c>
      <c r="N49" s="169"/>
      <c r="O49" s="169"/>
      <c r="P49" s="169"/>
      <c r="Q49" s="169"/>
      <c r="R49" s="169"/>
      <c r="S49" s="169"/>
      <c r="T49" s="169"/>
      <c r="U49" s="169"/>
      <c r="V49" s="169"/>
      <c r="W49" s="169"/>
      <c r="X49" s="169"/>
      <c r="Y49" s="169"/>
      <c r="Z49" s="169"/>
    </row>
    <row r="50" spans="1:26" s="65" customFormat="1" hidden="1" outlineLevel="2">
      <c r="A50" s="97"/>
      <c r="B50" s="95"/>
      <c r="C50" s="95"/>
      <c r="D50" s="95"/>
      <c r="E50" s="95" t="s">
        <v>114</v>
      </c>
      <c r="F50" s="269"/>
      <c r="G50" s="96"/>
      <c r="H50" s="95"/>
      <c r="I50" s="97"/>
      <c r="J50" s="97"/>
      <c r="K50" s="39"/>
      <c r="L50" s="96"/>
      <c r="M50" s="95" t="s">
        <v>117</v>
      </c>
      <c r="N50" s="169"/>
      <c r="O50" s="169"/>
      <c r="P50" s="169"/>
      <c r="Q50" s="169"/>
      <c r="R50" s="169"/>
      <c r="S50" s="169"/>
      <c r="T50" s="169"/>
      <c r="U50" s="169"/>
      <c r="V50" s="169"/>
      <c r="W50" s="169"/>
      <c r="X50" s="169"/>
      <c r="Y50" s="169"/>
      <c r="Z50" s="169"/>
    </row>
    <row r="51" spans="1:26" s="65" customFormat="1" outlineLevel="1">
      <c r="A51" s="44"/>
      <c r="B51" s="24"/>
      <c r="C51" s="24"/>
      <c r="D51" s="24"/>
      <c r="E51" s="24" t="s">
        <v>66</v>
      </c>
      <c r="F51" s="267"/>
      <c r="G51" s="29"/>
      <c r="H51" s="24"/>
      <c r="I51" s="44"/>
      <c r="J51" s="44"/>
      <c r="K51" s="44"/>
      <c r="L51" s="24"/>
      <c r="M51" s="24"/>
      <c r="N51" s="24"/>
      <c r="O51" s="44"/>
      <c r="P51" s="114"/>
      <c r="Q51" s="46"/>
      <c r="R51" s="46"/>
      <c r="S51" s="46"/>
      <c r="T51" s="46"/>
      <c r="U51" s="46"/>
      <c r="V51" s="46"/>
      <c r="W51" s="46"/>
      <c r="X51" s="46"/>
      <c r="Y51" s="46"/>
      <c r="Z51" s="46"/>
    </row>
    <row r="52" spans="1:26" s="65" customFormat="1" outlineLevel="1">
      <c r="A52" s="44"/>
      <c r="B52" s="24"/>
      <c r="C52" s="24"/>
      <c r="D52" s="24"/>
      <c r="E52" s="24" t="s">
        <v>62</v>
      </c>
      <c r="F52" s="267"/>
      <c r="G52" s="29"/>
      <c r="H52" s="24"/>
      <c r="I52" s="44"/>
      <c r="J52" s="44"/>
      <c r="K52" s="44"/>
      <c r="L52" s="24"/>
      <c r="M52" s="24"/>
      <c r="N52" s="24"/>
      <c r="O52" s="44"/>
      <c r="P52" s="114">
        <f>P1083</f>
        <v>0</v>
      </c>
      <c r="Q52" s="46"/>
      <c r="R52" s="46"/>
      <c r="S52" s="46"/>
      <c r="T52" s="46"/>
      <c r="U52" s="46"/>
      <c r="V52" s="46"/>
      <c r="W52" s="46"/>
      <c r="X52" s="46"/>
      <c r="Y52" s="46"/>
      <c r="Z52" s="46"/>
    </row>
    <row r="53" spans="1:26" s="65" customFormat="1" outlineLevel="1">
      <c r="A53" s="44"/>
      <c r="B53" s="24"/>
      <c r="C53" s="24"/>
      <c r="D53" s="24"/>
      <c r="E53" s="24" t="s">
        <v>68</v>
      </c>
      <c r="F53" s="267"/>
      <c r="G53" s="29"/>
      <c r="H53" s="24"/>
      <c r="I53" s="44"/>
      <c r="J53" s="44"/>
      <c r="K53" s="44"/>
      <c r="L53" s="24"/>
      <c r="M53" s="24"/>
      <c r="N53" s="24"/>
      <c r="O53" s="44"/>
      <c r="P53" s="114" t="s">
        <v>46</v>
      </c>
      <c r="Q53" s="46"/>
      <c r="R53" s="46"/>
      <c r="S53" s="46"/>
      <c r="T53" s="46"/>
      <c r="U53" s="46"/>
      <c r="V53" s="46"/>
      <c r="W53" s="46"/>
      <c r="X53" s="46"/>
      <c r="Y53" s="46"/>
      <c r="Z53" s="46"/>
    </row>
    <row r="54" spans="1:26" s="65" customFormat="1" outlineLevel="1">
      <c r="A54" s="44"/>
      <c r="B54" s="24"/>
      <c r="C54" s="24"/>
      <c r="D54" s="24"/>
      <c r="E54" s="24" t="s">
        <v>72</v>
      </c>
      <c r="F54" s="267"/>
      <c r="G54" s="29"/>
      <c r="H54" s="24"/>
      <c r="I54" s="44"/>
      <c r="J54" s="44"/>
      <c r="K54" s="44"/>
      <c r="L54" s="24"/>
      <c r="M54" s="24"/>
      <c r="N54" s="24"/>
      <c r="O54" s="44"/>
      <c r="P54" s="114">
        <f>P1235</f>
        <v>0</v>
      </c>
      <c r="Q54" s="46"/>
      <c r="R54" s="46"/>
      <c r="S54" s="46"/>
      <c r="T54" s="46"/>
      <c r="U54" s="46"/>
      <c r="V54" s="46"/>
      <c r="W54" s="46"/>
      <c r="X54" s="46"/>
      <c r="Y54" s="46"/>
      <c r="Z54" s="46"/>
    </row>
    <row r="55" spans="1:26" s="65" customFormat="1" outlineLevel="1">
      <c r="A55" s="44"/>
      <c r="B55" s="24"/>
      <c r="C55" s="24"/>
      <c r="D55" s="24"/>
      <c r="E55" s="24" t="s">
        <v>67</v>
      </c>
      <c r="F55" s="267"/>
      <c r="G55" s="29"/>
      <c r="H55" s="24"/>
      <c r="I55" s="44"/>
      <c r="J55" s="44"/>
      <c r="K55" s="44"/>
      <c r="L55" s="24"/>
      <c r="M55" s="24"/>
      <c r="N55" s="24"/>
      <c r="O55" s="44"/>
      <c r="P55" s="114" t="s">
        <v>130</v>
      </c>
      <c r="Q55" s="46"/>
      <c r="R55" s="46"/>
      <c r="S55" s="46"/>
      <c r="T55" s="46"/>
      <c r="U55" s="46"/>
      <c r="V55" s="46"/>
      <c r="W55" s="46"/>
      <c r="X55" s="46"/>
      <c r="Y55" s="46"/>
      <c r="Z55" s="46"/>
    </row>
    <row r="56" spans="1:26" s="65" customFormat="1" outlineLevel="1">
      <c r="A56" s="44"/>
      <c r="B56" s="24"/>
      <c r="C56" s="24"/>
      <c r="D56" s="24"/>
      <c r="E56" s="24" t="s">
        <v>64</v>
      </c>
      <c r="F56" s="267"/>
      <c r="G56" s="29"/>
      <c r="H56" s="24"/>
      <c r="I56" s="44"/>
      <c r="J56" s="44"/>
      <c r="K56" s="44"/>
      <c r="L56" s="24"/>
      <c r="M56" s="24"/>
      <c r="N56" s="24"/>
      <c r="O56" s="44"/>
      <c r="P56" s="114">
        <v>0</v>
      </c>
      <c r="Q56" s="46"/>
      <c r="R56" s="46"/>
      <c r="S56" s="46"/>
      <c r="T56" s="46"/>
      <c r="U56" s="46"/>
      <c r="V56" s="46"/>
      <c r="W56" s="46"/>
      <c r="X56" s="46"/>
      <c r="Y56" s="46"/>
      <c r="Z56" s="46"/>
    </row>
    <row r="57" spans="1:26" s="65" customFormat="1" outlineLevel="1">
      <c r="A57" s="44"/>
      <c r="B57" s="24"/>
      <c r="C57" s="24"/>
      <c r="D57" s="24"/>
      <c r="E57" s="24" t="s">
        <v>65</v>
      </c>
      <c r="F57" s="267"/>
      <c r="G57" s="29"/>
      <c r="H57" s="24"/>
      <c r="I57" s="44"/>
      <c r="J57" s="44"/>
      <c r="K57" s="44"/>
      <c r="L57" s="24"/>
      <c r="M57" s="24"/>
      <c r="N57" s="24"/>
      <c r="O57" s="44"/>
      <c r="P57" s="114"/>
      <c r="Q57" s="46"/>
      <c r="R57" s="46"/>
      <c r="S57" s="46"/>
      <c r="T57" s="46"/>
      <c r="U57" s="46"/>
      <c r="V57" s="46"/>
      <c r="W57" s="46"/>
      <c r="X57" s="46"/>
      <c r="Y57" s="46"/>
      <c r="Z57" s="46"/>
    </row>
    <row r="58" spans="1:26" s="65" customFormat="1" outlineLevel="1" collapsed="1">
      <c r="A58" s="44"/>
      <c r="B58" s="24"/>
      <c r="C58" s="24"/>
      <c r="D58" s="24"/>
      <c r="E58" s="91" t="s">
        <v>99</v>
      </c>
      <c r="F58" s="270"/>
      <c r="G58" s="202"/>
      <c r="H58" s="91"/>
      <c r="I58" s="157"/>
      <c r="J58" s="157"/>
      <c r="K58" s="157"/>
      <c r="L58" s="91"/>
      <c r="M58" s="98" t="s">
        <v>44</v>
      </c>
      <c r="N58" s="203"/>
      <c r="O58" s="203"/>
      <c r="P58" s="204"/>
      <c r="Q58" s="204"/>
      <c r="R58" s="204"/>
      <c r="S58" s="204"/>
      <c r="T58" s="204"/>
      <c r="U58" s="204"/>
      <c r="V58" s="204"/>
      <c r="W58" s="204"/>
      <c r="X58" s="204"/>
      <c r="Y58" s="204"/>
      <c r="Z58" s="203"/>
    </row>
    <row r="59" spans="1:26" s="105" customFormat="1" hidden="1" outlineLevel="2">
      <c r="A59" s="172"/>
      <c r="B59" s="173"/>
      <c r="C59" s="173"/>
      <c r="D59" s="173"/>
      <c r="E59" s="173" t="s">
        <v>69</v>
      </c>
      <c r="F59" s="271"/>
      <c r="G59" s="174"/>
      <c r="H59" s="173"/>
      <c r="I59" s="172"/>
      <c r="J59" s="172"/>
      <c r="K59" s="172"/>
      <c r="L59" s="173"/>
      <c r="M59" s="173" t="s">
        <v>44</v>
      </c>
      <c r="N59" s="175"/>
      <c r="O59" s="175"/>
      <c r="P59" s="175"/>
      <c r="Q59" s="175"/>
      <c r="R59" s="175"/>
      <c r="S59" s="175"/>
      <c r="T59" s="175"/>
      <c r="U59" s="175"/>
      <c r="V59" s="175"/>
      <c r="W59" s="175"/>
      <c r="X59" s="175"/>
      <c r="Y59" s="175"/>
      <c r="Z59" s="175"/>
    </row>
    <row r="60" spans="1:26" s="105" customFormat="1" hidden="1" outlineLevel="2">
      <c r="A60" s="172"/>
      <c r="B60" s="173"/>
      <c r="C60" s="173"/>
      <c r="D60" s="173"/>
      <c r="E60" s="173" t="s">
        <v>105</v>
      </c>
      <c r="F60" s="271"/>
      <c r="G60" s="174"/>
      <c r="H60" s="173"/>
      <c r="I60" s="172"/>
      <c r="J60" s="172"/>
      <c r="K60" s="172"/>
      <c r="L60" s="173"/>
      <c r="M60" s="173" t="s">
        <v>44</v>
      </c>
      <c r="N60" s="175"/>
      <c r="O60" s="175"/>
      <c r="P60" s="175"/>
      <c r="Q60" s="175"/>
      <c r="R60" s="175"/>
      <c r="S60" s="175"/>
      <c r="T60" s="175"/>
      <c r="U60" s="175"/>
      <c r="V60" s="175"/>
      <c r="W60" s="175"/>
      <c r="X60" s="175"/>
      <c r="Y60" s="175"/>
      <c r="Z60" s="175"/>
    </row>
    <row r="61" spans="1:26" s="105" customFormat="1" hidden="1" outlineLevel="2">
      <c r="A61" s="172"/>
      <c r="B61" s="173"/>
      <c r="C61" s="173"/>
      <c r="D61" s="173"/>
      <c r="E61" s="173" t="s">
        <v>116</v>
      </c>
      <c r="F61" s="271"/>
      <c r="G61" s="174"/>
      <c r="H61" s="173"/>
      <c r="I61" s="172"/>
      <c r="J61" s="172"/>
      <c r="K61" s="172"/>
      <c r="L61" s="173"/>
      <c r="M61" s="173" t="s">
        <v>44</v>
      </c>
      <c r="N61" s="175"/>
      <c r="O61" s="175"/>
      <c r="P61" s="175"/>
      <c r="Q61" s="175"/>
      <c r="R61" s="175"/>
      <c r="S61" s="175"/>
      <c r="T61" s="175"/>
      <c r="U61" s="175"/>
      <c r="V61" s="175"/>
      <c r="W61" s="175"/>
      <c r="X61" s="175"/>
      <c r="Y61" s="175"/>
      <c r="Z61" s="175"/>
    </row>
    <row r="62" spans="1:26" s="101" customFormat="1" hidden="1" outlineLevel="2">
      <c r="A62" s="100"/>
      <c r="B62" s="98"/>
      <c r="C62" s="98"/>
      <c r="D62" s="98"/>
      <c r="E62" s="98"/>
      <c r="F62" s="272"/>
      <c r="G62" s="99"/>
      <c r="H62" s="98"/>
      <c r="I62" s="100"/>
      <c r="J62" s="100"/>
      <c r="K62" s="100"/>
      <c r="L62" s="106" t="s">
        <v>92</v>
      </c>
      <c r="M62" s="106" t="s">
        <v>44</v>
      </c>
      <c r="N62" s="107"/>
      <c r="O62" s="107"/>
      <c r="P62" s="120"/>
      <c r="Q62" s="151"/>
      <c r="R62" s="151"/>
      <c r="S62" s="151"/>
      <c r="T62" s="151"/>
      <c r="U62" s="151"/>
      <c r="V62" s="151"/>
      <c r="W62" s="151"/>
      <c r="X62" s="151"/>
      <c r="Y62" s="151"/>
      <c r="Z62" s="128"/>
    </row>
    <row r="63" spans="1:26" s="65" customFormat="1" hidden="1" outlineLevel="2">
      <c r="A63" s="73"/>
      <c r="B63" s="53"/>
      <c r="C63" s="53"/>
      <c r="D63" s="53"/>
      <c r="E63" s="53"/>
      <c r="F63" s="268"/>
      <c r="G63" s="54"/>
      <c r="H63" s="53"/>
      <c r="I63" s="73"/>
      <c r="J63" s="73"/>
      <c r="K63" s="73"/>
      <c r="L63" s="176" t="s">
        <v>106</v>
      </c>
      <c r="M63" s="53" t="s">
        <v>44</v>
      </c>
      <c r="N63" s="177"/>
      <c r="O63" s="177"/>
      <c r="P63" s="177"/>
      <c r="Q63" s="177"/>
      <c r="R63" s="177"/>
      <c r="S63" s="177"/>
      <c r="T63" s="177"/>
      <c r="U63" s="177"/>
      <c r="V63" s="177"/>
      <c r="W63" s="177"/>
      <c r="X63" s="177"/>
      <c r="Y63" s="177"/>
      <c r="Z63" s="177"/>
    </row>
    <row r="64" spans="1:26" s="65" customFormat="1" hidden="1" outlineLevel="2">
      <c r="A64" s="73"/>
      <c r="B64" s="53"/>
      <c r="C64" s="53"/>
      <c r="D64" s="53"/>
      <c r="E64" s="53"/>
      <c r="F64" s="268"/>
      <c r="G64" s="54"/>
      <c r="H64" s="53"/>
      <c r="I64" s="73"/>
      <c r="J64" s="73"/>
      <c r="K64" s="73"/>
      <c r="L64" s="176" t="s">
        <v>125</v>
      </c>
      <c r="M64" s="53" t="s">
        <v>44</v>
      </c>
      <c r="N64" s="177"/>
      <c r="O64" s="177"/>
      <c r="P64" s="178"/>
      <c r="Q64" s="177"/>
      <c r="R64" s="177"/>
      <c r="S64" s="177"/>
      <c r="T64" s="177"/>
      <c r="U64" s="177"/>
      <c r="V64" s="177"/>
      <c r="W64" s="177"/>
      <c r="X64" s="177"/>
      <c r="Y64" s="177"/>
      <c r="Z64" s="177"/>
    </row>
    <row r="65" spans="1:26" s="65" customFormat="1" hidden="1" outlineLevel="2">
      <c r="A65" s="73"/>
      <c r="B65" s="53"/>
      <c r="C65" s="53"/>
      <c r="D65" s="53"/>
      <c r="E65" s="53"/>
      <c r="F65" s="268"/>
      <c r="G65" s="54"/>
      <c r="H65" s="53"/>
      <c r="I65" s="73"/>
      <c r="J65" s="73"/>
      <c r="K65" s="73"/>
      <c r="L65" s="176" t="s">
        <v>105</v>
      </c>
      <c r="M65" s="53" t="s">
        <v>44</v>
      </c>
      <c r="N65" s="177"/>
      <c r="O65" s="177"/>
      <c r="P65" s="177"/>
      <c r="Q65" s="177"/>
      <c r="R65" s="177"/>
      <c r="S65" s="177"/>
      <c r="T65" s="177"/>
      <c r="U65" s="177"/>
      <c r="V65" s="177"/>
      <c r="W65" s="177"/>
      <c r="X65" s="177"/>
      <c r="Y65" s="177"/>
      <c r="Z65" s="177"/>
    </row>
    <row r="66" spans="1:26" s="101" customFormat="1" hidden="1" outlineLevel="2">
      <c r="A66" s="100"/>
      <c r="B66" s="98"/>
      <c r="C66" s="98"/>
      <c r="D66" s="98"/>
      <c r="E66" s="98"/>
      <c r="F66" s="272"/>
      <c r="G66" s="99"/>
      <c r="H66" s="98"/>
      <c r="I66" s="100"/>
      <c r="J66" s="100"/>
      <c r="K66" s="100"/>
      <c r="L66" s="106" t="s">
        <v>91</v>
      </c>
      <c r="M66" s="106" t="s">
        <v>44</v>
      </c>
      <c r="N66" s="107"/>
      <c r="O66" s="107"/>
      <c r="P66" s="107"/>
      <c r="Q66" s="151"/>
      <c r="R66" s="151"/>
      <c r="S66" s="151"/>
      <c r="T66" s="151"/>
      <c r="U66" s="151"/>
      <c r="V66" s="151"/>
      <c r="W66" s="151"/>
      <c r="X66" s="151"/>
      <c r="Y66" s="151"/>
      <c r="Z66" s="128"/>
    </row>
    <row r="67" spans="1:26" s="65" customFormat="1" hidden="1" outlineLevel="2">
      <c r="A67" s="73"/>
      <c r="B67" s="53"/>
      <c r="C67" s="53"/>
      <c r="D67" s="53"/>
      <c r="E67" s="53"/>
      <c r="F67" s="268"/>
      <c r="G67" s="54"/>
      <c r="H67" s="53"/>
      <c r="I67" s="73"/>
      <c r="J67" s="73"/>
      <c r="K67" s="73"/>
      <c r="L67" s="176" t="s">
        <v>106</v>
      </c>
      <c r="M67" s="53" t="s">
        <v>44</v>
      </c>
      <c r="N67" s="177"/>
      <c r="O67" s="177"/>
      <c r="P67" s="177"/>
      <c r="Q67" s="177"/>
      <c r="R67" s="177"/>
      <c r="S67" s="177"/>
      <c r="T67" s="177"/>
      <c r="U67" s="177"/>
      <c r="V67" s="177"/>
      <c r="W67" s="177"/>
      <c r="X67" s="177"/>
      <c r="Y67" s="177"/>
      <c r="Z67" s="177"/>
    </row>
    <row r="68" spans="1:26" s="65" customFormat="1" hidden="1" outlineLevel="2">
      <c r="A68" s="73"/>
      <c r="B68" s="53"/>
      <c r="C68" s="53"/>
      <c r="D68" s="53"/>
      <c r="E68" s="53"/>
      <c r="F68" s="268"/>
      <c r="G68" s="54"/>
      <c r="H68" s="53"/>
      <c r="I68" s="73"/>
      <c r="J68" s="73"/>
      <c r="K68" s="73"/>
      <c r="L68" s="176" t="s">
        <v>105</v>
      </c>
      <c r="M68" s="53" t="s">
        <v>44</v>
      </c>
      <c r="N68" s="177"/>
      <c r="O68" s="177"/>
      <c r="P68" s="177"/>
      <c r="Q68" s="177"/>
      <c r="R68" s="177"/>
      <c r="S68" s="177"/>
      <c r="T68" s="177"/>
      <c r="U68" s="177"/>
      <c r="V68" s="177"/>
      <c r="W68" s="177"/>
      <c r="X68" s="177"/>
      <c r="Y68" s="177"/>
      <c r="Z68" s="177"/>
    </row>
    <row r="69" spans="1:26" s="101" customFormat="1" hidden="1" outlineLevel="2">
      <c r="A69" s="100"/>
      <c r="B69" s="98"/>
      <c r="C69" s="98"/>
      <c r="D69" s="98"/>
      <c r="E69" s="98"/>
      <c r="F69" s="272"/>
      <c r="G69" s="99"/>
      <c r="H69" s="98"/>
      <c r="I69" s="100"/>
      <c r="J69" s="100"/>
      <c r="K69" s="100"/>
      <c r="L69" s="106" t="s">
        <v>55</v>
      </c>
      <c r="M69" s="106" t="s">
        <v>44</v>
      </c>
      <c r="N69" s="107"/>
      <c r="O69" s="107"/>
      <c r="P69" s="107"/>
      <c r="Q69" s="151"/>
      <c r="R69" s="151"/>
      <c r="S69" s="151"/>
      <c r="T69" s="151"/>
      <c r="U69" s="151"/>
      <c r="V69" s="151"/>
      <c r="W69" s="151"/>
      <c r="X69" s="151"/>
      <c r="Y69" s="151"/>
      <c r="Z69" s="128"/>
    </row>
    <row r="70" spans="1:26" s="65" customFormat="1" hidden="1" outlineLevel="2">
      <c r="A70" s="73"/>
      <c r="B70" s="53"/>
      <c r="C70" s="53"/>
      <c r="D70" s="53"/>
      <c r="E70" s="53"/>
      <c r="F70" s="268"/>
      <c r="G70" s="54"/>
      <c r="H70" s="53"/>
      <c r="I70" s="73"/>
      <c r="J70" s="73"/>
      <c r="K70" s="73"/>
      <c r="L70" s="176" t="s">
        <v>106</v>
      </c>
      <c r="M70" s="53" t="s">
        <v>44</v>
      </c>
      <c r="N70" s="176"/>
      <c r="O70" s="176"/>
      <c r="P70" s="176"/>
      <c r="Q70" s="176"/>
      <c r="R70" s="176"/>
      <c r="S70" s="176"/>
      <c r="T70" s="176"/>
      <c r="U70" s="176"/>
      <c r="V70" s="176"/>
      <c r="W70" s="176"/>
      <c r="X70" s="177"/>
      <c r="Y70" s="176"/>
      <c r="Z70" s="176"/>
    </row>
    <row r="71" spans="1:26" s="65" customFormat="1" hidden="1" outlineLevel="2">
      <c r="A71" s="73"/>
      <c r="B71" s="53"/>
      <c r="C71" s="53"/>
      <c r="D71" s="53"/>
      <c r="E71" s="53"/>
      <c r="F71" s="268"/>
      <c r="G71" s="54"/>
      <c r="H71" s="53"/>
      <c r="I71" s="73"/>
      <c r="J71" s="73"/>
      <c r="K71" s="73"/>
      <c r="L71" s="176" t="s">
        <v>105</v>
      </c>
      <c r="M71" s="53" t="s">
        <v>44</v>
      </c>
      <c r="N71" s="178"/>
      <c r="O71" s="177"/>
      <c r="P71" s="177"/>
      <c r="Q71" s="181"/>
      <c r="R71" s="181"/>
      <c r="S71" s="181"/>
      <c r="T71" s="181"/>
      <c r="U71" s="181"/>
      <c r="V71" s="181"/>
      <c r="W71" s="181"/>
      <c r="X71" s="181"/>
      <c r="Y71" s="181"/>
      <c r="Z71" s="182"/>
    </row>
    <row r="72" spans="1:26" s="93" customFormat="1" outlineLevel="1" collapsed="1">
      <c r="A72" s="157"/>
      <c r="B72" s="91"/>
      <c r="C72" s="91"/>
      <c r="D72" s="91"/>
      <c r="E72" s="91" t="s">
        <v>98</v>
      </c>
      <c r="F72" s="270"/>
      <c r="G72" s="202"/>
      <c r="H72" s="91"/>
      <c r="I72" s="157"/>
      <c r="J72" s="157"/>
      <c r="K72" s="157"/>
      <c r="L72" s="91"/>
      <c r="M72" s="98" t="s">
        <v>44</v>
      </c>
      <c r="N72" s="203"/>
      <c r="O72" s="203"/>
      <c r="P72" s="203"/>
      <c r="Q72" s="203"/>
      <c r="R72" s="203"/>
      <c r="S72" s="203"/>
      <c r="T72" s="203"/>
      <c r="U72" s="203"/>
      <c r="V72" s="203"/>
      <c r="W72" s="203"/>
      <c r="X72" s="203"/>
      <c r="Y72" s="203"/>
      <c r="Z72" s="203"/>
    </row>
    <row r="73" spans="1:26" s="105" customFormat="1" hidden="1" outlineLevel="2">
      <c r="A73" s="172"/>
      <c r="B73" s="173"/>
      <c r="C73" s="173"/>
      <c r="D73" s="173"/>
      <c r="E73" s="173" t="s">
        <v>69</v>
      </c>
      <c r="F73" s="271"/>
      <c r="G73" s="174"/>
      <c r="H73" s="173"/>
      <c r="I73" s="172"/>
      <c r="J73" s="172"/>
      <c r="K73" s="172"/>
      <c r="L73" s="173"/>
      <c r="M73" s="173" t="s">
        <v>44</v>
      </c>
      <c r="N73" s="179"/>
      <c r="O73" s="179"/>
      <c r="P73" s="180"/>
      <c r="Q73" s="180"/>
      <c r="R73" s="180"/>
      <c r="S73" s="180"/>
      <c r="T73" s="180"/>
      <c r="U73" s="180"/>
      <c r="V73" s="180"/>
      <c r="W73" s="180"/>
      <c r="X73" s="180"/>
      <c r="Y73" s="180"/>
      <c r="Z73" s="179"/>
    </row>
    <row r="74" spans="1:26" s="105" customFormat="1" hidden="1" outlineLevel="2">
      <c r="A74" s="172"/>
      <c r="B74" s="173"/>
      <c r="C74" s="173"/>
      <c r="D74" s="173"/>
      <c r="E74" s="173" t="s">
        <v>105</v>
      </c>
      <c r="F74" s="271"/>
      <c r="G74" s="174"/>
      <c r="H74" s="173"/>
      <c r="I74" s="172"/>
      <c r="J74" s="172"/>
      <c r="K74" s="172"/>
      <c r="L74" s="173"/>
      <c r="M74" s="173" t="s">
        <v>44</v>
      </c>
      <c r="N74" s="179"/>
      <c r="O74" s="179"/>
      <c r="P74" s="180"/>
      <c r="Q74" s="180"/>
      <c r="R74" s="180"/>
      <c r="S74" s="180"/>
      <c r="T74" s="180"/>
      <c r="U74" s="180"/>
      <c r="V74" s="180"/>
      <c r="W74" s="180"/>
      <c r="X74" s="180"/>
      <c r="Y74" s="180"/>
      <c r="Z74" s="179"/>
    </row>
    <row r="75" spans="1:26" s="101" customFormat="1" hidden="1" outlineLevel="2">
      <c r="A75" s="100"/>
      <c r="B75" s="98"/>
      <c r="C75" s="98"/>
      <c r="D75" s="98"/>
      <c r="E75" s="98"/>
      <c r="F75" s="272"/>
      <c r="G75" s="99"/>
      <c r="H75" s="98"/>
      <c r="I75" s="100"/>
      <c r="J75" s="100"/>
      <c r="K75" s="100"/>
      <c r="L75" s="108" t="s">
        <v>92</v>
      </c>
      <c r="M75" s="108" t="s">
        <v>44</v>
      </c>
      <c r="N75" s="109"/>
      <c r="O75" s="109"/>
      <c r="P75" s="121"/>
      <c r="Q75" s="152"/>
      <c r="R75" s="152"/>
      <c r="S75" s="152"/>
      <c r="T75" s="152"/>
      <c r="U75" s="152"/>
      <c r="V75" s="152"/>
      <c r="W75" s="152"/>
      <c r="X75" s="152"/>
      <c r="Y75" s="152"/>
      <c r="Z75" s="129"/>
    </row>
    <row r="76" spans="1:26" s="65" customFormat="1" hidden="1" outlineLevel="2">
      <c r="A76" s="73"/>
      <c r="B76" s="53"/>
      <c r="C76" s="53"/>
      <c r="D76" s="53"/>
      <c r="E76" s="53"/>
      <c r="F76" s="268"/>
      <c r="G76" s="54"/>
      <c r="H76" s="53"/>
      <c r="I76" s="73"/>
      <c r="J76" s="73"/>
      <c r="K76" s="73"/>
      <c r="L76" s="176" t="s">
        <v>106</v>
      </c>
      <c r="M76" s="183" t="s">
        <v>44</v>
      </c>
      <c r="N76" s="184"/>
      <c r="O76" s="184"/>
      <c r="P76" s="184"/>
      <c r="Q76" s="184"/>
      <c r="R76" s="184"/>
      <c r="S76" s="184"/>
      <c r="T76" s="184"/>
      <c r="U76" s="184"/>
      <c r="V76" s="184"/>
      <c r="W76" s="184"/>
      <c r="X76" s="184"/>
      <c r="Y76" s="184"/>
      <c r="Z76" s="184"/>
    </row>
    <row r="77" spans="1:26" s="65" customFormat="1" hidden="1" outlineLevel="2">
      <c r="A77" s="73"/>
      <c r="B77" s="53"/>
      <c r="C77" s="53"/>
      <c r="D77" s="53"/>
      <c r="E77" s="53"/>
      <c r="F77" s="268"/>
      <c r="G77" s="54"/>
      <c r="H77" s="53"/>
      <c r="I77" s="73"/>
      <c r="J77" s="73"/>
      <c r="K77" s="73"/>
      <c r="L77" s="176" t="s">
        <v>105</v>
      </c>
      <c r="M77" s="183" t="s">
        <v>44</v>
      </c>
      <c r="N77" s="177"/>
      <c r="O77" s="177"/>
      <c r="P77" s="177"/>
      <c r="Q77" s="177"/>
      <c r="R77" s="177"/>
      <c r="S77" s="177"/>
      <c r="T77" s="177"/>
      <c r="U77" s="177"/>
      <c r="V77" s="177"/>
      <c r="W77" s="177"/>
      <c r="X77" s="177"/>
      <c r="Y77" s="177"/>
      <c r="Z77" s="177"/>
    </row>
    <row r="78" spans="1:26" s="101" customFormat="1" hidden="1" outlineLevel="2">
      <c r="A78" s="100"/>
      <c r="B78" s="98"/>
      <c r="C78" s="98"/>
      <c r="D78" s="98"/>
      <c r="E78" s="98"/>
      <c r="F78" s="272"/>
      <c r="G78" s="99"/>
      <c r="H78" s="98"/>
      <c r="I78" s="100"/>
      <c r="J78" s="100"/>
      <c r="K78" s="100"/>
      <c r="L78" s="108" t="s">
        <v>91</v>
      </c>
      <c r="M78" s="108" t="s">
        <v>44</v>
      </c>
      <c r="N78" s="109"/>
      <c r="O78" s="109"/>
      <c r="P78" s="121"/>
      <c r="Q78" s="152"/>
      <c r="R78" s="152"/>
      <c r="S78" s="152"/>
      <c r="T78" s="152"/>
      <c r="U78" s="152"/>
      <c r="V78" s="152"/>
      <c r="W78" s="152"/>
      <c r="X78" s="152"/>
      <c r="Y78" s="152"/>
      <c r="Z78" s="129"/>
    </row>
    <row r="79" spans="1:26" s="65" customFormat="1" hidden="1" outlineLevel="2">
      <c r="A79" s="73"/>
      <c r="B79" s="53"/>
      <c r="C79" s="53"/>
      <c r="D79" s="53"/>
      <c r="E79" s="53"/>
      <c r="F79" s="268"/>
      <c r="G79" s="54"/>
      <c r="H79" s="53"/>
      <c r="I79" s="73"/>
      <c r="J79" s="73"/>
      <c r="K79" s="73"/>
      <c r="L79" s="176" t="s">
        <v>69</v>
      </c>
      <c r="M79" s="183" t="s">
        <v>44</v>
      </c>
      <c r="N79" s="184"/>
      <c r="O79" s="184"/>
      <c r="P79" s="184"/>
      <c r="Q79" s="184"/>
      <c r="R79" s="184"/>
      <c r="S79" s="184"/>
      <c r="T79" s="184"/>
      <c r="U79" s="184"/>
      <c r="V79" s="184"/>
      <c r="W79" s="184"/>
      <c r="X79" s="184"/>
      <c r="Y79" s="184"/>
      <c r="Z79" s="184"/>
    </row>
    <row r="80" spans="1:26" s="65" customFormat="1" hidden="1" outlineLevel="2">
      <c r="A80" s="73"/>
      <c r="B80" s="53"/>
      <c r="C80" s="53"/>
      <c r="D80" s="53"/>
      <c r="E80" s="53"/>
      <c r="F80" s="268"/>
      <c r="G80" s="54"/>
      <c r="H80" s="53"/>
      <c r="I80" s="73"/>
      <c r="J80" s="73"/>
      <c r="K80" s="73"/>
      <c r="L80" s="176" t="s">
        <v>105</v>
      </c>
      <c r="M80" s="183" t="s">
        <v>44</v>
      </c>
      <c r="N80" s="176"/>
      <c r="O80" s="176"/>
      <c r="P80" s="185"/>
      <c r="Q80" s="176"/>
      <c r="R80" s="176"/>
      <c r="S80" s="176"/>
      <c r="T80" s="176"/>
      <c r="U80" s="176"/>
      <c r="V80" s="176"/>
      <c r="W80" s="176"/>
      <c r="X80" s="177"/>
      <c r="Y80" s="176"/>
      <c r="Z80" s="176"/>
    </row>
    <row r="81" spans="1:26" s="101" customFormat="1" hidden="1" outlineLevel="2">
      <c r="A81" s="100"/>
      <c r="B81" s="98"/>
      <c r="C81" s="98"/>
      <c r="D81" s="98"/>
      <c r="E81" s="98"/>
      <c r="F81" s="272"/>
      <c r="G81" s="99"/>
      <c r="H81" s="98"/>
      <c r="I81" s="100"/>
      <c r="J81" s="100"/>
      <c r="K81" s="100"/>
      <c r="L81" s="108" t="s">
        <v>55</v>
      </c>
      <c r="M81" s="108" t="s">
        <v>44</v>
      </c>
      <c r="N81" s="109"/>
      <c r="O81" s="109"/>
      <c r="P81" s="121"/>
      <c r="Q81" s="152"/>
      <c r="R81" s="152"/>
      <c r="S81" s="152"/>
      <c r="T81" s="152"/>
      <c r="U81" s="152"/>
      <c r="V81" s="152"/>
      <c r="W81" s="152"/>
      <c r="X81" s="152"/>
      <c r="Y81" s="152"/>
      <c r="Z81" s="129"/>
    </row>
    <row r="82" spans="1:26" s="65" customFormat="1" hidden="1" outlineLevel="2">
      <c r="A82" s="73"/>
      <c r="B82" s="53"/>
      <c r="C82" s="53"/>
      <c r="D82" s="53"/>
      <c r="E82" s="53"/>
      <c r="F82" s="268"/>
      <c r="G82" s="54"/>
      <c r="H82" s="53"/>
      <c r="I82" s="73"/>
      <c r="J82" s="73"/>
      <c r="K82" s="73"/>
      <c r="L82" s="176" t="s">
        <v>106</v>
      </c>
      <c r="M82" s="183" t="s">
        <v>44</v>
      </c>
      <c r="N82" s="184"/>
      <c r="O82" s="184"/>
      <c r="P82" s="184"/>
      <c r="Q82" s="184"/>
      <c r="R82" s="184"/>
      <c r="S82" s="184"/>
      <c r="T82" s="184"/>
      <c r="U82" s="184"/>
      <c r="V82" s="184"/>
      <c r="W82" s="184"/>
      <c r="X82" s="184"/>
      <c r="Y82" s="184"/>
      <c r="Z82" s="184"/>
    </row>
    <row r="83" spans="1:26" s="65" customFormat="1" hidden="1" outlineLevel="2">
      <c r="A83" s="73"/>
      <c r="B83" s="53"/>
      <c r="C83" s="53"/>
      <c r="D83" s="53"/>
      <c r="E83" s="53"/>
      <c r="F83" s="268"/>
      <c r="G83" s="54"/>
      <c r="H83" s="53"/>
      <c r="I83" s="73"/>
      <c r="J83" s="73"/>
      <c r="K83" s="73"/>
      <c r="L83" s="176" t="s">
        <v>105</v>
      </c>
      <c r="M83" s="183" t="s">
        <v>44</v>
      </c>
      <c r="N83" s="184"/>
      <c r="O83" s="184"/>
      <c r="P83" s="184"/>
      <c r="Q83" s="186"/>
      <c r="R83" s="186"/>
      <c r="S83" s="186"/>
      <c r="T83" s="186"/>
      <c r="U83" s="186"/>
      <c r="V83" s="186"/>
      <c r="W83" s="186"/>
      <c r="X83" s="186"/>
      <c r="Y83" s="186"/>
      <c r="Z83" s="184"/>
    </row>
    <row r="84" spans="1:26" s="65" customFormat="1" hidden="1" outlineLevel="2">
      <c r="A84" s="73"/>
      <c r="B84" s="53"/>
      <c r="C84" s="53"/>
      <c r="D84" s="53"/>
      <c r="E84" s="53"/>
      <c r="F84" s="268"/>
      <c r="G84" s="54"/>
      <c r="H84" s="53"/>
      <c r="I84" s="73"/>
      <c r="J84" s="73"/>
      <c r="K84" s="73"/>
      <c r="L84" s="176" t="s">
        <v>140</v>
      </c>
      <c r="M84" s="183" t="s">
        <v>44</v>
      </c>
      <c r="N84" s="184"/>
      <c r="O84" s="184"/>
      <c r="P84" s="184"/>
      <c r="Q84" s="184"/>
      <c r="R84" s="184"/>
      <c r="S84" s="184"/>
      <c r="T84" s="184"/>
      <c r="U84" s="184"/>
      <c r="V84" s="184"/>
      <c r="W84" s="184"/>
      <c r="X84" s="184"/>
      <c r="Y84" s="184"/>
      <c r="Z84" s="184"/>
    </row>
    <row r="85" spans="1:26" s="65" customFormat="1" outlineLevel="1" collapsed="1">
      <c r="A85" s="44"/>
      <c r="B85" s="24"/>
      <c r="C85" s="24"/>
      <c r="D85" s="24"/>
      <c r="E85" s="91" t="s">
        <v>138</v>
      </c>
      <c r="F85" s="270"/>
      <c r="G85" s="202"/>
      <c r="H85" s="91"/>
      <c r="I85" s="157"/>
      <c r="J85" s="157"/>
      <c r="K85" s="157"/>
      <c r="L85" s="91"/>
      <c r="M85" s="91" t="s">
        <v>44</v>
      </c>
      <c r="N85" s="203">
        <f>N86</f>
        <v>0</v>
      </c>
      <c r="O85" s="203">
        <f t="shared" ref="O85:Z85" si="0">O86</f>
        <v>0</v>
      </c>
      <c r="P85" s="203"/>
      <c r="Q85" s="203">
        <f t="shared" si="0"/>
        <v>0</v>
      </c>
      <c r="R85" s="203">
        <f t="shared" si="0"/>
        <v>0</v>
      </c>
      <c r="S85" s="203">
        <f t="shared" si="0"/>
        <v>0</v>
      </c>
      <c r="T85" s="203">
        <f t="shared" si="0"/>
        <v>0</v>
      </c>
      <c r="U85" s="203">
        <f t="shared" si="0"/>
        <v>0</v>
      </c>
      <c r="V85" s="203">
        <f t="shared" si="0"/>
        <v>0</v>
      </c>
      <c r="W85" s="203">
        <f t="shared" si="0"/>
        <v>0</v>
      </c>
      <c r="X85" s="203">
        <f t="shared" si="0"/>
        <v>0</v>
      </c>
      <c r="Y85" s="203">
        <f t="shared" si="0"/>
        <v>0</v>
      </c>
      <c r="Z85" s="203">
        <f t="shared" si="0"/>
        <v>0</v>
      </c>
    </row>
    <row r="86" spans="1:26" s="65" customFormat="1" hidden="1" outlineLevel="2" collapsed="1">
      <c r="A86" s="44"/>
      <c r="B86" s="24"/>
      <c r="C86" s="24"/>
      <c r="D86" s="24"/>
      <c r="E86" s="91" t="s">
        <v>69</v>
      </c>
      <c r="F86" s="270"/>
      <c r="G86" s="202"/>
      <c r="H86" s="91"/>
      <c r="I86" s="157"/>
      <c r="J86" s="157"/>
      <c r="K86" s="157"/>
      <c r="L86" s="91"/>
      <c r="M86" s="91" t="s">
        <v>44</v>
      </c>
      <c r="N86" s="203">
        <f>N87+N88+N89</f>
        <v>0</v>
      </c>
      <c r="O86" s="203">
        <f t="shared" ref="O86:Z86" si="1">O87+O88+O89</f>
        <v>0</v>
      </c>
      <c r="P86" s="203"/>
      <c r="Q86" s="203">
        <f t="shared" si="1"/>
        <v>0</v>
      </c>
      <c r="R86" s="203">
        <f t="shared" si="1"/>
        <v>0</v>
      </c>
      <c r="S86" s="203">
        <f t="shared" si="1"/>
        <v>0</v>
      </c>
      <c r="T86" s="203">
        <f t="shared" si="1"/>
        <v>0</v>
      </c>
      <c r="U86" s="203">
        <f t="shared" si="1"/>
        <v>0</v>
      </c>
      <c r="V86" s="203">
        <f t="shared" si="1"/>
        <v>0</v>
      </c>
      <c r="W86" s="203">
        <f t="shared" si="1"/>
        <v>0</v>
      </c>
      <c r="X86" s="203">
        <f t="shared" si="1"/>
        <v>0</v>
      </c>
      <c r="Y86" s="203">
        <f t="shared" si="1"/>
        <v>0</v>
      </c>
      <c r="Z86" s="203">
        <f t="shared" si="1"/>
        <v>0</v>
      </c>
    </row>
    <row r="87" spans="1:26" s="65" customFormat="1" hidden="1" outlineLevel="2">
      <c r="A87" s="73"/>
      <c r="B87" s="53"/>
      <c r="C87" s="53"/>
      <c r="D87" s="53"/>
      <c r="E87" s="53"/>
      <c r="F87" s="268"/>
      <c r="G87" s="54"/>
      <c r="H87" s="53"/>
      <c r="I87" s="73"/>
      <c r="J87" s="73"/>
      <c r="K87" s="73"/>
      <c r="L87" s="53" t="s">
        <v>131</v>
      </c>
      <c r="M87" s="53" t="s">
        <v>44</v>
      </c>
      <c r="N87" s="184"/>
      <c r="O87" s="184"/>
      <c r="P87" s="184"/>
      <c r="Q87" s="184"/>
      <c r="R87" s="184"/>
      <c r="S87" s="184"/>
      <c r="T87" s="184"/>
      <c r="U87" s="184"/>
      <c r="V87" s="184"/>
      <c r="W87" s="184"/>
      <c r="X87" s="184"/>
      <c r="Y87" s="184"/>
      <c r="Z87" s="184"/>
    </row>
    <row r="88" spans="1:26" s="65" customFormat="1" hidden="1" outlineLevel="2">
      <c r="A88" s="73"/>
      <c r="B88" s="53"/>
      <c r="C88" s="53"/>
      <c r="D88" s="53"/>
      <c r="E88" s="53"/>
      <c r="F88" s="268"/>
      <c r="G88" s="54"/>
      <c r="H88" s="53"/>
      <c r="I88" s="73"/>
      <c r="J88" s="73"/>
      <c r="K88" s="73"/>
      <c r="L88" s="53" t="s">
        <v>100</v>
      </c>
      <c r="M88" s="53" t="s">
        <v>44</v>
      </c>
      <c r="N88" s="176"/>
      <c r="O88" s="176"/>
      <c r="P88" s="170"/>
      <c r="Q88" s="73"/>
      <c r="R88" s="73"/>
      <c r="S88" s="73"/>
      <c r="T88" s="73"/>
      <c r="U88" s="73"/>
      <c r="V88" s="73"/>
      <c r="W88" s="73"/>
      <c r="X88" s="181"/>
      <c r="Y88" s="73"/>
      <c r="Z88" s="187"/>
    </row>
    <row r="89" spans="1:26" s="65" customFormat="1" hidden="1" outlineLevel="2">
      <c r="A89" s="73"/>
      <c r="B89" s="53"/>
      <c r="C89" s="53"/>
      <c r="D89" s="53"/>
      <c r="E89" s="53"/>
      <c r="F89" s="268"/>
      <c r="G89" s="54"/>
      <c r="H89" s="53"/>
      <c r="I89" s="73"/>
      <c r="J89" s="73"/>
      <c r="K89" s="73"/>
      <c r="L89" s="53" t="s">
        <v>101</v>
      </c>
      <c r="M89" s="53" t="s">
        <v>44</v>
      </c>
      <c r="N89" s="176"/>
      <c r="O89" s="176"/>
      <c r="P89" s="170"/>
      <c r="Q89" s="73"/>
      <c r="R89" s="73"/>
      <c r="S89" s="73"/>
      <c r="T89" s="73"/>
      <c r="U89" s="73"/>
      <c r="V89" s="73"/>
      <c r="W89" s="73"/>
      <c r="X89" s="181"/>
      <c r="Y89" s="73"/>
      <c r="Z89" s="187"/>
    </row>
    <row r="90" spans="1:26" s="65" customFormat="1" outlineLevel="1" collapsed="1">
      <c r="A90" s="195"/>
      <c r="B90" s="196"/>
      <c r="C90" s="196"/>
      <c r="D90" s="196"/>
      <c r="E90" s="189" t="s">
        <v>137</v>
      </c>
      <c r="F90" s="273"/>
      <c r="G90" s="190"/>
      <c r="H90" s="189"/>
      <c r="I90" s="188"/>
      <c r="J90" s="188"/>
      <c r="K90" s="188"/>
      <c r="L90" s="189"/>
      <c r="M90" s="189" t="s">
        <v>44</v>
      </c>
      <c r="N90" s="193">
        <f>N91</f>
        <v>0</v>
      </c>
      <c r="O90" s="193">
        <f t="shared" ref="O90:Z90" si="2">O91</f>
        <v>0</v>
      </c>
      <c r="P90" s="193"/>
      <c r="Q90" s="193">
        <f t="shared" si="2"/>
        <v>0</v>
      </c>
      <c r="R90" s="193">
        <f t="shared" si="2"/>
        <v>0</v>
      </c>
      <c r="S90" s="193">
        <f t="shared" si="2"/>
        <v>0</v>
      </c>
      <c r="T90" s="193">
        <f t="shared" si="2"/>
        <v>0</v>
      </c>
      <c r="U90" s="193">
        <f t="shared" si="2"/>
        <v>0</v>
      </c>
      <c r="V90" s="193">
        <f t="shared" si="2"/>
        <v>0</v>
      </c>
      <c r="W90" s="193">
        <f t="shared" si="2"/>
        <v>0</v>
      </c>
      <c r="X90" s="193">
        <f t="shared" si="2"/>
        <v>0</v>
      </c>
      <c r="Y90" s="193">
        <f t="shared" si="2"/>
        <v>0</v>
      </c>
      <c r="Z90" s="193">
        <f t="shared" si="2"/>
        <v>0</v>
      </c>
    </row>
    <row r="91" spans="1:26" s="65" customFormat="1" hidden="1" outlineLevel="2" collapsed="1">
      <c r="A91" s="195"/>
      <c r="B91" s="196"/>
      <c r="C91" s="196"/>
      <c r="D91" s="196"/>
      <c r="E91" s="189" t="s">
        <v>69</v>
      </c>
      <c r="F91" s="273"/>
      <c r="G91" s="190"/>
      <c r="H91" s="189"/>
      <c r="I91" s="188"/>
      <c r="J91" s="188"/>
      <c r="K91" s="188"/>
      <c r="L91" s="189"/>
      <c r="M91" s="189" t="s">
        <v>44</v>
      </c>
      <c r="N91" s="193">
        <f>N92+N93+N94</f>
        <v>0</v>
      </c>
      <c r="O91" s="193">
        <f t="shared" ref="O91:Z91" si="3">O92+O93+O94</f>
        <v>0</v>
      </c>
      <c r="P91" s="193"/>
      <c r="Q91" s="193">
        <f t="shared" si="3"/>
        <v>0</v>
      </c>
      <c r="R91" s="193">
        <f t="shared" si="3"/>
        <v>0</v>
      </c>
      <c r="S91" s="193">
        <f t="shared" si="3"/>
        <v>0</v>
      </c>
      <c r="T91" s="193">
        <f t="shared" si="3"/>
        <v>0</v>
      </c>
      <c r="U91" s="193">
        <f t="shared" si="3"/>
        <v>0</v>
      </c>
      <c r="V91" s="193">
        <f t="shared" si="3"/>
        <v>0</v>
      </c>
      <c r="W91" s="193">
        <f t="shared" si="3"/>
        <v>0</v>
      </c>
      <c r="X91" s="193">
        <f t="shared" si="3"/>
        <v>0</v>
      </c>
      <c r="Y91" s="193">
        <f t="shared" si="3"/>
        <v>0</v>
      </c>
      <c r="Z91" s="193">
        <f t="shared" si="3"/>
        <v>0</v>
      </c>
    </row>
    <row r="92" spans="1:26" s="65" customFormat="1" hidden="1" outlineLevel="2">
      <c r="A92" s="73"/>
      <c r="B92" s="53"/>
      <c r="C92" s="53"/>
      <c r="D92" s="53"/>
      <c r="E92" s="53"/>
      <c r="F92" s="268"/>
      <c r="G92" s="54"/>
      <c r="H92" s="53"/>
      <c r="I92" s="73"/>
      <c r="J92" s="73"/>
      <c r="K92" s="73"/>
      <c r="L92" s="53" t="s">
        <v>131</v>
      </c>
      <c r="M92" s="53" t="s">
        <v>44</v>
      </c>
      <c r="N92" s="184"/>
      <c r="O92" s="184"/>
      <c r="P92" s="184"/>
      <c r="Q92" s="184"/>
      <c r="R92" s="184"/>
      <c r="S92" s="184"/>
      <c r="T92" s="184"/>
      <c r="U92" s="184"/>
      <c r="V92" s="184"/>
      <c r="W92" s="184"/>
      <c r="X92" s="184"/>
      <c r="Y92" s="184"/>
      <c r="Z92" s="184"/>
    </row>
    <row r="93" spans="1:26" s="65" customFormat="1" hidden="1" outlineLevel="2">
      <c r="A93" s="73"/>
      <c r="B93" s="53"/>
      <c r="C93" s="53"/>
      <c r="D93" s="53"/>
      <c r="E93" s="53"/>
      <c r="F93" s="268"/>
      <c r="G93" s="54"/>
      <c r="H93" s="53"/>
      <c r="I93" s="73"/>
      <c r="J93" s="73"/>
      <c r="K93" s="73"/>
      <c r="L93" s="53" t="s">
        <v>100</v>
      </c>
      <c r="M93" s="53" t="s">
        <v>44</v>
      </c>
      <c r="N93" s="176"/>
      <c r="O93" s="176"/>
      <c r="P93" s="170"/>
      <c r="Q93" s="73"/>
      <c r="R93" s="73"/>
      <c r="S93" s="73"/>
      <c r="T93" s="73"/>
      <c r="U93" s="73"/>
      <c r="V93" s="73"/>
      <c r="W93" s="73"/>
      <c r="X93" s="181"/>
      <c r="Y93" s="73"/>
      <c r="Z93" s="187"/>
    </row>
    <row r="94" spans="1:26" s="65" customFormat="1" hidden="1" outlineLevel="2">
      <c r="A94" s="73"/>
      <c r="B94" s="53"/>
      <c r="C94" s="53"/>
      <c r="D94" s="53"/>
      <c r="E94" s="53"/>
      <c r="F94" s="268"/>
      <c r="G94" s="54"/>
      <c r="H94" s="53"/>
      <c r="I94" s="73"/>
      <c r="J94" s="73"/>
      <c r="K94" s="73"/>
      <c r="L94" s="53" t="s">
        <v>101</v>
      </c>
      <c r="M94" s="53" t="s">
        <v>44</v>
      </c>
      <c r="N94" s="176"/>
      <c r="O94" s="176"/>
      <c r="P94" s="170"/>
      <c r="Q94" s="73"/>
      <c r="R94" s="73"/>
      <c r="S94" s="73"/>
      <c r="T94" s="73"/>
      <c r="U94" s="73"/>
      <c r="V94" s="73"/>
      <c r="W94" s="73"/>
      <c r="X94" s="181"/>
      <c r="Y94" s="73"/>
      <c r="Z94" s="187"/>
    </row>
    <row r="95" spans="1:26" s="93" customFormat="1" ht="32.25" customHeight="1" outlineLevel="1" collapsed="1">
      <c r="A95" s="188"/>
      <c r="B95" s="189"/>
      <c r="C95" s="189"/>
      <c r="D95" s="189"/>
      <c r="E95" s="189" t="s">
        <v>108</v>
      </c>
      <c r="F95" s="273"/>
      <c r="G95" s="190"/>
      <c r="H95" s="189"/>
      <c r="I95" s="188"/>
      <c r="J95" s="188"/>
      <c r="K95" s="188"/>
      <c r="L95" s="189"/>
      <c r="M95" s="189" t="s">
        <v>44</v>
      </c>
      <c r="N95" s="191">
        <f>N72+N58+N85+N90</f>
        <v>0</v>
      </c>
      <c r="O95" s="191">
        <f t="shared" ref="O95:Z95" si="4">O72+O58</f>
        <v>0</v>
      </c>
      <c r="P95" s="192">
        <f t="shared" si="4"/>
        <v>0</v>
      </c>
      <c r="Q95" s="191">
        <f t="shared" si="4"/>
        <v>0</v>
      </c>
      <c r="R95" s="191">
        <f t="shared" si="4"/>
        <v>0</v>
      </c>
      <c r="S95" s="191">
        <f t="shared" si="4"/>
        <v>0</v>
      </c>
      <c r="T95" s="191">
        <f t="shared" si="4"/>
        <v>0</v>
      </c>
      <c r="U95" s="191">
        <f t="shared" si="4"/>
        <v>0</v>
      </c>
      <c r="V95" s="191">
        <f t="shared" si="4"/>
        <v>0</v>
      </c>
      <c r="W95" s="191">
        <f t="shared" si="4"/>
        <v>0</v>
      </c>
      <c r="X95" s="191">
        <f t="shared" si="4"/>
        <v>0</v>
      </c>
      <c r="Y95" s="191">
        <f t="shared" si="4"/>
        <v>0</v>
      </c>
      <c r="Z95" s="191">
        <f t="shared" si="4"/>
        <v>0</v>
      </c>
    </row>
    <row r="96" spans="1:26" s="93" customFormat="1" ht="14.25" hidden="1" outlineLevel="2">
      <c r="A96" s="188"/>
      <c r="B96" s="189"/>
      <c r="C96" s="189"/>
      <c r="D96" s="189"/>
      <c r="E96" s="189" t="s">
        <v>97</v>
      </c>
      <c r="F96" s="273"/>
      <c r="G96" s="190"/>
      <c r="H96" s="189"/>
      <c r="I96" s="188"/>
      <c r="J96" s="188"/>
      <c r="K96" s="188"/>
      <c r="L96" s="189"/>
      <c r="M96" s="189" t="s">
        <v>44</v>
      </c>
      <c r="N96" s="193">
        <f>N100+N104+N107</f>
        <v>0</v>
      </c>
      <c r="O96" s="193">
        <f t="shared" ref="O96:Z96" si="5">O59+O73</f>
        <v>0</v>
      </c>
      <c r="P96" s="194">
        <f t="shared" si="5"/>
        <v>0</v>
      </c>
      <c r="Q96" s="194">
        <f t="shared" si="5"/>
        <v>0</v>
      </c>
      <c r="R96" s="194">
        <f t="shared" si="5"/>
        <v>0</v>
      </c>
      <c r="S96" s="194">
        <f t="shared" si="5"/>
        <v>0</v>
      </c>
      <c r="T96" s="194">
        <f t="shared" si="5"/>
        <v>0</v>
      </c>
      <c r="U96" s="194">
        <f t="shared" si="5"/>
        <v>0</v>
      </c>
      <c r="V96" s="194">
        <f t="shared" si="5"/>
        <v>0</v>
      </c>
      <c r="W96" s="194">
        <f t="shared" si="5"/>
        <v>0</v>
      </c>
      <c r="X96" s="194">
        <f t="shared" si="5"/>
        <v>0</v>
      </c>
      <c r="Y96" s="194">
        <f t="shared" si="5"/>
        <v>0</v>
      </c>
      <c r="Z96" s="193">
        <f t="shared" si="5"/>
        <v>0</v>
      </c>
    </row>
    <row r="97" spans="1:26" s="93" customFormat="1" ht="14.25" hidden="1" outlineLevel="2">
      <c r="A97" s="188"/>
      <c r="B97" s="189"/>
      <c r="C97" s="189"/>
      <c r="D97" s="189"/>
      <c r="E97" s="189" t="s">
        <v>107</v>
      </c>
      <c r="F97" s="273"/>
      <c r="G97" s="190"/>
      <c r="H97" s="189"/>
      <c r="I97" s="188"/>
      <c r="J97" s="188"/>
      <c r="K97" s="188"/>
      <c r="L97" s="189"/>
      <c r="M97" s="189" t="s">
        <v>44</v>
      </c>
      <c r="N97" s="193">
        <f>N101+N105+N109</f>
        <v>0</v>
      </c>
      <c r="O97" s="193">
        <f t="shared" ref="O97:Z97" si="6">O83+O80+O77+O71+O68+O65</f>
        <v>0</v>
      </c>
      <c r="P97" s="194">
        <f t="shared" si="6"/>
        <v>0</v>
      </c>
      <c r="Q97" s="194">
        <f t="shared" si="6"/>
        <v>0</v>
      </c>
      <c r="R97" s="194">
        <f t="shared" si="6"/>
        <v>0</v>
      </c>
      <c r="S97" s="194">
        <f t="shared" si="6"/>
        <v>0</v>
      </c>
      <c r="T97" s="194">
        <f t="shared" si="6"/>
        <v>0</v>
      </c>
      <c r="U97" s="194">
        <f t="shared" si="6"/>
        <v>0</v>
      </c>
      <c r="V97" s="194">
        <f t="shared" si="6"/>
        <v>0</v>
      </c>
      <c r="W97" s="194">
        <f t="shared" si="6"/>
        <v>0</v>
      </c>
      <c r="X97" s="194">
        <f t="shared" si="6"/>
        <v>0</v>
      </c>
      <c r="Y97" s="194">
        <f t="shared" si="6"/>
        <v>0</v>
      </c>
      <c r="Z97" s="193">
        <f t="shared" si="6"/>
        <v>0</v>
      </c>
    </row>
    <row r="98" spans="1:26" s="93" customFormat="1" ht="14.25" hidden="1" outlineLevel="2">
      <c r="A98" s="188"/>
      <c r="B98" s="189"/>
      <c r="C98" s="189"/>
      <c r="D98" s="189"/>
      <c r="E98" s="189" t="s">
        <v>132</v>
      </c>
      <c r="F98" s="273"/>
      <c r="G98" s="190"/>
      <c r="H98" s="189"/>
      <c r="I98" s="188"/>
      <c r="J98" s="188"/>
      <c r="K98" s="188"/>
      <c r="L98" s="189"/>
      <c r="M98" s="189" t="s">
        <v>44</v>
      </c>
      <c r="N98" s="193">
        <f>N102</f>
        <v>0</v>
      </c>
      <c r="O98" s="193">
        <f t="shared" ref="O98:Z98" si="7">O64</f>
        <v>0</v>
      </c>
      <c r="P98" s="194">
        <f t="shared" si="7"/>
        <v>0</v>
      </c>
      <c r="Q98" s="194">
        <f t="shared" si="7"/>
        <v>0</v>
      </c>
      <c r="R98" s="194">
        <f t="shared" si="7"/>
        <v>0</v>
      </c>
      <c r="S98" s="194">
        <f t="shared" si="7"/>
        <v>0</v>
      </c>
      <c r="T98" s="194">
        <f t="shared" si="7"/>
        <v>0</v>
      </c>
      <c r="U98" s="194">
        <f t="shared" si="7"/>
        <v>0</v>
      </c>
      <c r="V98" s="194">
        <f t="shared" si="7"/>
        <v>0</v>
      </c>
      <c r="W98" s="194">
        <f t="shared" si="7"/>
        <v>0</v>
      </c>
      <c r="X98" s="194">
        <f t="shared" si="7"/>
        <v>0</v>
      </c>
      <c r="Y98" s="194">
        <f t="shared" si="7"/>
        <v>0</v>
      </c>
      <c r="Z98" s="193">
        <f t="shared" si="7"/>
        <v>0</v>
      </c>
    </row>
    <row r="99" spans="1:26" s="105" customFormat="1" hidden="1" outlineLevel="2">
      <c r="A99" s="104"/>
      <c r="B99" s="102"/>
      <c r="C99" s="102"/>
      <c r="D99" s="102"/>
      <c r="E99" s="102"/>
      <c r="F99" s="274"/>
      <c r="G99" s="103"/>
      <c r="H99" s="102"/>
      <c r="I99" s="104"/>
      <c r="J99" s="104"/>
      <c r="K99" s="104"/>
      <c r="L99" s="108" t="s">
        <v>49</v>
      </c>
      <c r="M99" s="110" t="s">
        <v>44</v>
      </c>
      <c r="N99" s="111"/>
      <c r="O99" s="111"/>
      <c r="P99" s="122"/>
      <c r="Q99" s="153"/>
      <c r="R99" s="153"/>
      <c r="S99" s="153"/>
      <c r="T99" s="153"/>
      <c r="U99" s="153"/>
      <c r="V99" s="153"/>
      <c r="W99" s="153"/>
      <c r="X99" s="153"/>
      <c r="Y99" s="153"/>
      <c r="Z99" s="130"/>
    </row>
    <row r="100" spans="1:26" s="105" customFormat="1" hidden="1" outlineLevel="2">
      <c r="A100" s="172"/>
      <c r="B100" s="173"/>
      <c r="C100" s="173"/>
      <c r="D100" s="173"/>
      <c r="E100" s="173"/>
      <c r="F100" s="271"/>
      <c r="G100" s="174"/>
      <c r="H100" s="173"/>
      <c r="I100" s="172"/>
      <c r="J100" s="172"/>
      <c r="K100" s="172"/>
      <c r="L100" s="176" t="s">
        <v>106</v>
      </c>
      <c r="M100" s="173" t="s">
        <v>44</v>
      </c>
      <c r="N100" s="179">
        <f>N63+N76+N87+N92</f>
        <v>0</v>
      </c>
      <c r="O100" s="179">
        <f>O63+O76+O87+O92</f>
        <v>0</v>
      </c>
      <c r="P100" s="179"/>
      <c r="Q100" s="179">
        <f t="shared" ref="Q100:Z100" si="8">Q63+Q76+Q87+Q92</f>
        <v>0</v>
      </c>
      <c r="R100" s="179">
        <f t="shared" si="8"/>
        <v>0</v>
      </c>
      <c r="S100" s="179">
        <f t="shared" si="8"/>
        <v>0</v>
      </c>
      <c r="T100" s="179">
        <f t="shared" si="8"/>
        <v>0</v>
      </c>
      <c r="U100" s="179">
        <f t="shared" si="8"/>
        <v>0</v>
      </c>
      <c r="V100" s="179">
        <f t="shared" si="8"/>
        <v>0</v>
      </c>
      <c r="W100" s="179">
        <f t="shared" si="8"/>
        <v>0</v>
      </c>
      <c r="X100" s="179">
        <f t="shared" si="8"/>
        <v>0</v>
      </c>
      <c r="Y100" s="179">
        <f t="shared" si="8"/>
        <v>0</v>
      </c>
      <c r="Z100" s="179">
        <f t="shared" si="8"/>
        <v>0</v>
      </c>
    </row>
    <row r="101" spans="1:26" s="105" customFormat="1" hidden="1" outlineLevel="2">
      <c r="A101" s="172"/>
      <c r="B101" s="173"/>
      <c r="C101" s="173"/>
      <c r="D101" s="173"/>
      <c r="E101" s="173"/>
      <c r="F101" s="271"/>
      <c r="G101" s="174"/>
      <c r="H101" s="173"/>
      <c r="I101" s="172"/>
      <c r="J101" s="172"/>
      <c r="K101" s="172"/>
      <c r="L101" s="176" t="s">
        <v>105</v>
      </c>
      <c r="M101" s="173" t="s">
        <v>44</v>
      </c>
      <c r="N101" s="177">
        <f t="shared" ref="N101:Z101" si="9">N65+N77</f>
        <v>0</v>
      </c>
      <c r="O101" s="177">
        <f t="shared" si="9"/>
        <v>0</v>
      </c>
      <c r="P101" s="177">
        <f t="shared" si="9"/>
        <v>0</v>
      </c>
      <c r="Q101" s="177">
        <f t="shared" si="9"/>
        <v>0</v>
      </c>
      <c r="R101" s="177">
        <f t="shared" si="9"/>
        <v>0</v>
      </c>
      <c r="S101" s="177">
        <f t="shared" si="9"/>
        <v>0</v>
      </c>
      <c r="T101" s="177">
        <f t="shared" si="9"/>
        <v>0</v>
      </c>
      <c r="U101" s="177">
        <f t="shared" si="9"/>
        <v>0</v>
      </c>
      <c r="V101" s="177">
        <f t="shared" si="9"/>
        <v>0</v>
      </c>
      <c r="W101" s="177">
        <f t="shared" si="9"/>
        <v>0</v>
      </c>
      <c r="X101" s="177">
        <f t="shared" si="9"/>
        <v>0</v>
      </c>
      <c r="Y101" s="177">
        <f t="shared" si="9"/>
        <v>0</v>
      </c>
      <c r="Z101" s="177">
        <f t="shared" si="9"/>
        <v>0</v>
      </c>
    </row>
    <row r="102" spans="1:26" s="105" customFormat="1" hidden="1" outlineLevel="2">
      <c r="A102" s="172"/>
      <c r="B102" s="173"/>
      <c r="C102" s="173"/>
      <c r="D102" s="173"/>
      <c r="E102" s="173"/>
      <c r="F102" s="271"/>
      <c r="G102" s="174"/>
      <c r="H102" s="173"/>
      <c r="I102" s="172"/>
      <c r="J102" s="172"/>
      <c r="K102" s="172"/>
      <c r="L102" s="176" t="s">
        <v>139</v>
      </c>
      <c r="M102" s="173" t="s">
        <v>44</v>
      </c>
      <c r="N102" s="177">
        <f t="shared" ref="N102:Z102" si="10">N64</f>
        <v>0</v>
      </c>
      <c r="O102" s="177">
        <f t="shared" si="10"/>
        <v>0</v>
      </c>
      <c r="P102" s="177">
        <f t="shared" si="10"/>
        <v>0</v>
      </c>
      <c r="Q102" s="177">
        <f t="shared" si="10"/>
        <v>0</v>
      </c>
      <c r="R102" s="177">
        <f t="shared" si="10"/>
        <v>0</v>
      </c>
      <c r="S102" s="177">
        <f t="shared" si="10"/>
        <v>0</v>
      </c>
      <c r="T102" s="177">
        <f t="shared" si="10"/>
        <v>0</v>
      </c>
      <c r="U102" s="177">
        <f t="shared" si="10"/>
        <v>0</v>
      </c>
      <c r="V102" s="177">
        <f t="shared" si="10"/>
        <v>0</v>
      </c>
      <c r="W102" s="177">
        <f t="shared" si="10"/>
        <v>0</v>
      </c>
      <c r="X102" s="177">
        <f t="shared" si="10"/>
        <v>0</v>
      </c>
      <c r="Y102" s="177">
        <f t="shared" si="10"/>
        <v>0</v>
      </c>
      <c r="Z102" s="177">
        <f t="shared" si="10"/>
        <v>0</v>
      </c>
    </row>
    <row r="103" spans="1:26" s="105" customFormat="1" hidden="1" outlineLevel="2">
      <c r="A103" s="104"/>
      <c r="B103" s="102"/>
      <c r="C103" s="102"/>
      <c r="D103" s="102"/>
      <c r="E103" s="102"/>
      <c r="F103" s="274"/>
      <c r="G103" s="103"/>
      <c r="H103" s="102"/>
      <c r="I103" s="104"/>
      <c r="J103" s="104"/>
      <c r="K103" s="104"/>
      <c r="L103" s="108" t="s">
        <v>47</v>
      </c>
      <c r="M103" s="110" t="s">
        <v>44</v>
      </c>
      <c r="N103" s="111"/>
      <c r="O103" s="111"/>
      <c r="P103" s="122"/>
      <c r="Q103" s="153"/>
      <c r="R103" s="153"/>
      <c r="S103" s="153"/>
      <c r="T103" s="153"/>
      <c r="U103" s="153"/>
      <c r="V103" s="153"/>
      <c r="W103" s="153"/>
      <c r="X103" s="153"/>
      <c r="Y103" s="153"/>
      <c r="Z103" s="130"/>
    </row>
    <row r="104" spans="1:26" s="105" customFormat="1" hidden="1" outlineLevel="2">
      <c r="A104" s="172"/>
      <c r="B104" s="173"/>
      <c r="C104" s="173"/>
      <c r="D104" s="173"/>
      <c r="E104" s="173"/>
      <c r="F104" s="271"/>
      <c r="G104" s="174"/>
      <c r="H104" s="173"/>
      <c r="I104" s="172"/>
      <c r="J104" s="172"/>
      <c r="K104" s="172"/>
      <c r="L104" s="176" t="s">
        <v>106</v>
      </c>
      <c r="M104" s="173" t="s">
        <v>44</v>
      </c>
      <c r="N104" s="179">
        <f t="shared" ref="N104:Z105" si="11">N67+N79</f>
        <v>0</v>
      </c>
      <c r="O104" s="179">
        <f t="shared" si="11"/>
        <v>0</v>
      </c>
      <c r="P104" s="179">
        <f t="shared" si="11"/>
        <v>0</v>
      </c>
      <c r="Q104" s="179">
        <f t="shared" si="11"/>
        <v>0</v>
      </c>
      <c r="R104" s="179">
        <f t="shared" si="11"/>
        <v>0</v>
      </c>
      <c r="S104" s="179">
        <f t="shared" si="11"/>
        <v>0</v>
      </c>
      <c r="T104" s="179">
        <f t="shared" si="11"/>
        <v>0</v>
      </c>
      <c r="U104" s="179">
        <f t="shared" si="11"/>
        <v>0</v>
      </c>
      <c r="V104" s="179">
        <f t="shared" si="11"/>
        <v>0</v>
      </c>
      <c r="W104" s="179">
        <f t="shared" si="11"/>
        <v>0</v>
      </c>
      <c r="X104" s="179">
        <f t="shared" si="11"/>
        <v>0</v>
      </c>
      <c r="Y104" s="179">
        <f t="shared" si="11"/>
        <v>0</v>
      </c>
      <c r="Z104" s="179">
        <f t="shared" si="11"/>
        <v>0</v>
      </c>
    </row>
    <row r="105" spans="1:26" s="105" customFormat="1" hidden="1" outlineLevel="2">
      <c r="A105" s="172"/>
      <c r="B105" s="173"/>
      <c r="C105" s="173"/>
      <c r="D105" s="173"/>
      <c r="E105" s="173"/>
      <c r="F105" s="271"/>
      <c r="G105" s="174"/>
      <c r="H105" s="173"/>
      <c r="I105" s="172"/>
      <c r="J105" s="172"/>
      <c r="K105" s="172"/>
      <c r="L105" s="176" t="s">
        <v>105</v>
      </c>
      <c r="M105" s="173" t="s">
        <v>44</v>
      </c>
      <c r="N105" s="179">
        <f t="shared" si="11"/>
        <v>0</v>
      </c>
      <c r="O105" s="179">
        <f t="shared" si="11"/>
        <v>0</v>
      </c>
      <c r="P105" s="179">
        <f t="shared" si="11"/>
        <v>0</v>
      </c>
      <c r="Q105" s="179">
        <f t="shared" si="11"/>
        <v>0</v>
      </c>
      <c r="R105" s="179">
        <f t="shared" si="11"/>
        <v>0</v>
      </c>
      <c r="S105" s="179">
        <f t="shared" si="11"/>
        <v>0</v>
      </c>
      <c r="T105" s="179">
        <f t="shared" si="11"/>
        <v>0</v>
      </c>
      <c r="U105" s="179">
        <f t="shared" si="11"/>
        <v>0</v>
      </c>
      <c r="V105" s="179">
        <f t="shared" si="11"/>
        <v>0</v>
      </c>
      <c r="W105" s="179">
        <f t="shared" si="11"/>
        <v>0</v>
      </c>
      <c r="X105" s="179">
        <f t="shared" si="11"/>
        <v>0</v>
      </c>
      <c r="Y105" s="179">
        <f t="shared" si="11"/>
        <v>0</v>
      </c>
      <c r="Z105" s="179">
        <f t="shared" si="11"/>
        <v>0</v>
      </c>
    </row>
    <row r="106" spans="1:26" s="105" customFormat="1" hidden="1" outlineLevel="2">
      <c r="A106" s="104"/>
      <c r="B106" s="102"/>
      <c r="C106" s="102"/>
      <c r="D106" s="102"/>
      <c r="E106" s="102"/>
      <c r="F106" s="274"/>
      <c r="G106" s="103"/>
      <c r="H106" s="102"/>
      <c r="I106" s="104"/>
      <c r="J106" s="104"/>
      <c r="K106" s="104"/>
      <c r="L106" s="108" t="s">
        <v>50</v>
      </c>
      <c r="M106" s="110" t="s">
        <v>44</v>
      </c>
      <c r="N106" s="111"/>
      <c r="O106" s="111"/>
      <c r="P106" s="122"/>
      <c r="Q106" s="153"/>
      <c r="R106" s="153"/>
      <c r="S106" s="153"/>
      <c r="T106" s="153"/>
      <c r="U106" s="153"/>
      <c r="V106" s="153"/>
      <c r="W106" s="153"/>
      <c r="X106" s="153"/>
      <c r="Y106" s="153"/>
      <c r="Z106" s="130"/>
    </row>
    <row r="107" spans="1:26" s="105" customFormat="1" hidden="1" outlineLevel="2">
      <c r="A107" s="172"/>
      <c r="B107" s="173"/>
      <c r="C107" s="173"/>
      <c r="D107" s="173"/>
      <c r="E107" s="173"/>
      <c r="F107" s="271"/>
      <c r="G107" s="174"/>
      <c r="H107" s="173"/>
      <c r="I107" s="172"/>
      <c r="J107" s="172"/>
      <c r="K107" s="172"/>
      <c r="L107" s="176" t="s">
        <v>106</v>
      </c>
      <c r="M107" s="173" t="s">
        <v>44</v>
      </c>
      <c r="N107" s="179">
        <f>N70+N82</f>
        <v>0</v>
      </c>
      <c r="O107" s="179">
        <f>O70+O82</f>
        <v>0</v>
      </c>
      <c r="P107" s="179"/>
      <c r="Q107" s="179">
        <f t="shared" ref="Q107:Z107" si="12">Q70+Q82</f>
        <v>0</v>
      </c>
      <c r="R107" s="179">
        <f t="shared" si="12"/>
        <v>0</v>
      </c>
      <c r="S107" s="179">
        <f t="shared" si="12"/>
        <v>0</v>
      </c>
      <c r="T107" s="179">
        <f t="shared" si="12"/>
        <v>0</v>
      </c>
      <c r="U107" s="179">
        <f t="shared" si="12"/>
        <v>0</v>
      </c>
      <c r="V107" s="179">
        <f t="shared" si="12"/>
        <v>0</v>
      </c>
      <c r="W107" s="179">
        <f t="shared" si="12"/>
        <v>0</v>
      </c>
      <c r="X107" s="179">
        <f t="shared" si="12"/>
        <v>0</v>
      </c>
      <c r="Y107" s="179">
        <f t="shared" si="12"/>
        <v>0</v>
      </c>
      <c r="Z107" s="179">
        <f t="shared" si="12"/>
        <v>0</v>
      </c>
    </row>
    <row r="108" spans="1:26" s="105" customFormat="1" hidden="1" outlineLevel="2">
      <c r="A108" s="172"/>
      <c r="B108" s="173"/>
      <c r="C108" s="173"/>
      <c r="D108" s="173"/>
      <c r="E108" s="173"/>
      <c r="F108" s="271"/>
      <c r="G108" s="174"/>
      <c r="H108" s="173"/>
      <c r="I108" s="172"/>
      <c r="J108" s="172"/>
      <c r="K108" s="172"/>
      <c r="L108" s="176" t="s">
        <v>141</v>
      </c>
      <c r="M108" s="173" t="s">
        <v>44</v>
      </c>
      <c r="N108" s="179"/>
      <c r="O108" s="179"/>
      <c r="P108" s="179"/>
      <c r="Q108" s="179"/>
      <c r="R108" s="179"/>
      <c r="S108" s="179"/>
      <c r="T108" s="179"/>
      <c r="U108" s="179"/>
      <c r="V108" s="179"/>
      <c r="W108" s="179"/>
      <c r="X108" s="179"/>
      <c r="Y108" s="179"/>
      <c r="Z108" s="179"/>
    </row>
    <row r="109" spans="1:26" s="105" customFormat="1" hidden="1" outlineLevel="2">
      <c r="A109" s="172"/>
      <c r="B109" s="173"/>
      <c r="C109" s="173"/>
      <c r="D109" s="173"/>
      <c r="E109" s="173"/>
      <c r="F109" s="271"/>
      <c r="G109" s="174"/>
      <c r="H109" s="173"/>
      <c r="I109" s="172"/>
      <c r="J109" s="172"/>
      <c r="K109" s="172"/>
      <c r="L109" s="176" t="s">
        <v>105</v>
      </c>
      <c r="M109" s="173" t="s">
        <v>44</v>
      </c>
      <c r="N109" s="179">
        <f t="shared" ref="N109:Z109" si="13">N71+N83</f>
        <v>0</v>
      </c>
      <c r="O109" s="179">
        <f t="shared" si="13"/>
        <v>0</v>
      </c>
      <c r="P109" s="179">
        <f t="shared" si="13"/>
        <v>0</v>
      </c>
      <c r="Q109" s="179">
        <f t="shared" si="13"/>
        <v>0</v>
      </c>
      <c r="R109" s="179">
        <f t="shared" si="13"/>
        <v>0</v>
      </c>
      <c r="S109" s="179">
        <f t="shared" si="13"/>
        <v>0</v>
      </c>
      <c r="T109" s="179">
        <f t="shared" si="13"/>
        <v>0</v>
      </c>
      <c r="U109" s="179">
        <f t="shared" si="13"/>
        <v>0</v>
      </c>
      <c r="V109" s="179">
        <f t="shared" si="13"/>
        <v>0</v>
      </c>
      <c r="W109" s="179">
        <f t="shared" si="13"/>
        <v>0</v>
      </c>
      <c r="X109" s="179">
        <f t="shared" si="13"/>
        <v>0</v>
      </c>
      <c r="Y109" s="179">
        <f t="shared" si="13"/>
        <v>0</v>
      </c>
      <c r="Z109" s="179">
        <f t="shared" si="13"/>
        <v>0</v>
      </c>
    </row>
    <row r="110" spans="1:26" s="105" customFormat="1">
      <c r="A110" s="197"/>
      <c r="B110" s="198"/>
      <c r="C110" s="198"/>
      <c r="D110" s="198"/>
      <c r="E110" s="198"/>
      <c r="F110" s="275"/>
      <c r="G110" s="199"/>
      <c r="H110" s="198"/>
      <c r="I110" s="197"/>
      <c r="J110" s="197"/>
      <c r="K110" s="197"/>
      <c r="L110" s="200"/>
      <c r="M110" s="198"/>
      <c r="N110" s="201"/>
      <c r="O110" s="201"/>
      <c r="P110" s="201"/>
      <c r="Q110" s="201"/>
      <c r="R110" s="201"/>
      <c r="S110" s="201"/>
      <c r="T110" s="201"/>
      <c r="U110" s="201"/>
      <c r="V110" s="201"/>
      <c r="W110" s="201"/>
      <c r="X110" s="201"/>
      <c r="Y110" s="201"/>
      <c r="Z110" s="201"/>
    </row>
    <row r="111" spans="1:26" s="66" customFormat="1" ht="18.75">
      <c r="A111" s="158"/>
      <c r="B111" s="8"/>
      <c r="C111" s="8"/>
      <c r="D111" s="8"/>
      <c r="E111" s="8"/>
      <c r="F111" s="276" t="s">
        <v>35</v>
      </c>
      <c r="G111" s="34"/>
      <c r="H111" s="9"/>
      <c r="I111" s="11"/>
      <c r="J111" s="85"/>
      <c r="K111" s="85"/>
      <c r="L111" s="10"/>
      <c r="M111" s="10"/>
      <c r="N111" s="92"/>
      <c r="O111" s="147"/>
      <c r="P111" s="115"/>
      <c r="Q111" s="147"/>
      <c r="R111" s="147"/>
      <c r="S111" s="147"/>
      <c r="T111" s="147"/>
      <c r="U111" s="147"/>
      <c r="V111" s="147"/>
      <c r="W111" s="147"/>
      <c r="X111" s="147"/>
      <c r="Y111" s="147"/>
      <c r="Z111" s="147"/>
    </row>
    <row r="112" spans="1:26" s="66" customFormat="1" ht="19.5" thickBot="1">
      <c r="A112" s="159"/>
      <c r="B112" s="12"/>
      <c r="C112" s="12"/>
      <c r="D112" s="12"/>
      <c r="E112" s="12"/>
      <c r="F112" s="277" t="s">
        <v>36</v>
      </c>
      <c r="G112" s="13"/>
      <c r="H112" s="13"/>
      <c r="I112" s="15"/>
      <c r="J112" s="88"/>
      <c r="K112" s="88"/>
      <c r="L112" s="14"/>
      <c r="M112" s="14"/>
      <c r="N112" s="15"/>
      <c r="O112" s="23"/>
      <c r="P112" s="116"/>
      <c r="Q112" s="23"/>
      <c r="R112" s="23"/>
      <c r="S112" s="23"/>
      <c r="T112" s="23"/>
      <c r="U112" s="23"/>
      <c r="V112" s="23"/>
      <c r="W112" s="23"/>
      <c r="X112" s="23"/>
      <c r="Y112" s="23"/>
      <c r="Z112" s="23"/>
    </row>
    <row r="113" spans="1:26" ht="19.5" thickBot="1">
      <c r="A113" s="621">
        <v>1</v>
      </c>
      <c r="B113" s="622"/>
      <c r="C113" s="622"/>
      <c r="D113" s="622"/>
      <c r="E113" s="56" t="s">
        <v>73</v>
      </c>
      <c r="F113" s="278"/>
      <c r="G113" s="57"/>
      <c r="H113" s="58"/>
      <c r="I113" s="68"/>
      <c r="J113" s="68"/>
      <c r="K113" s="68"/>
      <c r="L113" s="59"/>
      <c r="M113" s="58"/>
      <c r="N113" s="58"/>
      <c r="O113" s="60">
        <v>0</v>
      </c>
      <c r="P113" s="60"/>
      <c r="Q113" s="60">
        <v>0</v>
      </c>
      <c r="R113" s="60">
        <v>0</v>
      </c>
      <c r="S113" s="60">
        <v>0</v>
      </c>
      <c r="T113" s="60">
        <v>0</v>
      </c>
      <c r="U113" s="60">
        <v>0</v>
      </c>
      <c r="V113" s="60">
        <v>0</v>
      </c>
      <c r="W113" s="60">
        <v>0</v>
      </c>
      <c r="X113" s="60">
        <v>0</v>
      </c>
      <c r="Y113" s="60">
        <v>0</v>
      </c>
      <c r="Z113" s="257">
        <v>0</v>
      </c>
    </row>
    <row r="114" spans="1:26" s="75" customFormat="1" ht="63.75" customHeight="1" outlineLevel="1" collapsed="1">
      <c r="A114" s="247"/>
      <c r="B114" s="248" t="s">
        <v>237</v>
      </c>
      <c r="C114" s="249" t="s">
        <v>47</v>
      </c>
      <c r="D114" s="250" t="s">
        <v>238</v>
      </c>
      <c r="E114" s="251"/>
      <c r="F114" s="263" t="s">
        <v>264</v>
      </c>
      <c r="G114" s="252"/>
      <c r="H114" s="253"/>
      <c r="I114" s="254" t="s">
        <v>48</v>
      </c>
      <c r="J114" s="254"/>
      <c r="K114" s="254"/>
      <c r="L114" s="149" t="str">
        <f>CONCATENATE(L115," ",N115,M115," ",L116," ",N116,M116," ",L117," ",N117,M117," ",L118," ",N118,M118," "," ",L119," ",N119,M119," ",L120," ",N120,M120," ",L121," ",N121,M121," ",L122," ",N122,M122," ",L123," ",N123,M123," ",L124," ",N124,M124)</f>
        <v xml:space="preserve">Бурение скважин, установка приставок 112шт. Монтаж опор 50шт. Демонтаж опор 49шт. Замена фарфоровых /стеклянных/ изоляторов на полимерные 81шт.  Ручная расчистка 3,9Га. Расширение просек 11,9Га. Механизированная расчистка 19,9Га.      </v>
      </c>
      <c r="M114" s="253"/>
      <c r="N114" s="253"/>
      <c r="O114" s="256">
        <f>SUM(O115:O124)</f>
        <v>18.742000000000001</v>
      </c>
      <c r="P114" s="292" t="s">
        <v>45</v>
      </c>
      <c r="Q114" s="256">
        <f t="shared" ref="Q114:Y114" si="14">SUM(Q115:Q124)</f>
        <v>0</v>
      </c>
      <c r="R114" s="256">
        <f t="shared" si="14"/>
        <v>0</v>
      </c>
      <c r="S114" s="256">
        <f t="shared" si="14"/>
        <v>0</v>
      </c>
      <c r="T114" s="256">
        <f t="shared" si="14"/>
        <v>0</v>
      </c>
      <c r="U114" s="256">
        <f t="shared" si="14"/>
        <v>0</v>
      </c>
      <c r="V114" s="256">
        <f t="shared" si="14"/>
        <v>0</v>
      </c>
      <c r="W114" s="256">
        <f t="shared" si="14"/>
        <v>0</v>
      </c>
      <c r="X114" s="256">
        <f t="shared" si="14"/>
        <v>0</v>
      </c>
      <c r="Y114" s="256">
        <f t="shared" si="14"/>
        <v>0</v>
      </c>
      <c r="Z114" s="256">
        <f>SUM(Z115:Z124)</f>
        <v>0</v>
      </c>
    </row>
    <row r="115" spans="1:26" ht="32.25" hidden="1" customHeight="1" outlineLevel="2">
      <c r="A115" s="19"/>
      <c r="B115" s="74" t="s">
        <v>237</v>
      </c>
      <c r="C115" s="207" t="s">
        <v>47</v>
      </c>
      <c r="D115" s="208" t="s">
        <v>238</v>
      </c>
      <c r="E115" s="133"/>
      <c r="F115" s="262" t="s">
        <v>266</v>
      </c>
      <c r="G115" s="138"/>
      <c r="H115" s="139"/>
      <c r="I115" s="206" t="s">
        <v>48</v>
      </c>
      <c r="J115" s="206"/>
      <c r="K115" s="206"/>
      <c r="L115" s="137" t="s">
        <v>241</v>
      </c>
      <c r="M115" s="74" t="s">
        <v>37</v>
      </c>
      <c r="N115" s="74">
        <v>112</v>
      </c>
      <c r="O115" s="19"/>
      <c r="P115" s="290" t="s">
        <v>38</v>
      </c>
      <c r="Q115" s="236">
        <f>SUM(R115,U115)</f>
        <v>0</v>
      </c>
      <c r="R115" s="236">
        <f>SUM(S115:T115)</f>
        <v>0</v>
      </c>
      <c r="S115" s="235"/>
      <c r="T115" s="235"/>
      <c r="U115" s="236">
        <f>SUM(V115:Y115)</f>
        <v>0</v>
      </c>
      <c r="V115" s="235"/>
      <c r="W115" s="232">
        <f>V115*0.304</f>
        <v>0</v>
      </c>
      <c r="X115" s="235"/>
      <c r="Y115" s="235"/>
      <c r="Z115" s="235"/>
    </row>
    <row r="116" spans="1:26" ht="22.5" hidden="1" customHeight="1" outlineLevel="2">
      <c r="A116" s="623"/>
      <c r="B116" s="625" t="s">
        <v>237</v>
      </c>
      <c r="C116" s="627" t="s">
        <v>47</v>
      </c>
      <c r="D116" s="629" t="s">
        <v>238</v>
      </c>
      <c r="E116" s="631"/>
      <c r="F116" s="613" t="s">
        <v>267</v>
      </c>
      <c r="G116" s="615"/>
      <c r="H116" s="617"/>
      <c r="I116" s="619" t="s">
        <v>48</v>
      </c>
      <c r="J116" s="619"/>
      <c r="K116" s="619"/>
      <c r="L116" s="137" t="s">
        <v>113</v>
      </c>
      <c r="M116" s="163" t="s">
        <v>37</v>
      </c>
      <c r="N116" s="163">
        <v>50</v>
      </c>
      <c r="O116" s="635">
        <f>N116*0.179</f>
        <v>8.9499999999999993</v>
      </c>
      <c r="P116" s="637" t="s">
        <v>38</v>
      </c>
      <c r="Q116" s="633">
        <f>SUM(R116,U116)</f>
        <v>0</v>
      </c>
      <c r="R116" s="633">
        <f>SUM(S116:T116)</f>
        <v>0</v>
      </c>
      <c r="S116" s="633"/>
      <c r="T116" s="633"/>
      <c r="U116" s="633">
        <f>SUM(V116:Y116)</f>
        <v>0</v>
      </c>
      <c r="V116" s="633"/>
      <c r="W116" s="633">
        <f>V116*0.304</f>
        <v>0</v>
      </c>
      <c r="X116" s="633"/>
      <c r="Y116" s="633"/>
      <c r="Z116" s="633"/>
    </row>
    <row r="117" spans="1:26" ht="19.5" hidden="1" customHeight="1" outlineLevel="2">
      <c r="A117" s="624"/>
      <c r="B117" s="626"/>
      <c r="C117" s="628"/>
      <c r="D117" s="630"/>
      <c r="E117" s="632"/>
      <c r="F117" s="614"/>
      <c r="G117" s="616"/>
      <c r="H117" s="618"/>
      <c r="I117" s="620"/>
      <c r="J117" s="620"/>
      <c r="K117" s="620"/>
      <c r="L117" s="137" t="s">
        <v>112</v>
      </c>
      <c r="M117" s="74" t="s">
        <v>37</v>
      </c>
      <c r="N117" s="74">
        <v>49</v>
      </c>
      <c r="O117" s="636"/>
      <c r="P117" s="638"/>
      <c r="Q117" s="634"/>
      <c r="R117" s="634">
        <f>SUM(S117:T117)</f>
        <v>0</v>
      </c>
      <c r="S117" s="634"/>
      <c r="T117" s="634"/>
      <c r="U117" s="634">
        <f t="shared" ref="U117:U124" si="15">SUM(V117:Y117)</f>
        <v>0</v>
      </c>
      <c r="V117" s="634"/>
      <c r="W117" s="634">
        <f t="shared" ref="W117:W124" si="16">V117*0.304</f>
        <v>0</v>
      </c>
      <c r="X117" s="634"/>
      <c r="Y117" s="634"/>
      <c r="Z117" s="634"/>
    </row>
    <row r="118" spans="1:26" ht="45" hidden="1" outlineLevel="2">
      <c r="A118" s="19"/>
      <c r="B118" s="74" t="s">
        <v>237</v>
      </c>
      <c r="C118" s="207" t="s">
        <v>47</v>
      </c>
      <c r="D118" s="208" t="s">
        <v>238</v>
      </c>
      <c r="E118" s="133"/>
      <c r="F118" s="262" t="s">
        <v>277</v>
      </c>
      <c r="G118" s="138"/>
      <c r="H118" s="135"/>
      <c r="I118" s="206" t="s">
        <v>48</v>
      </c>
      <c r="J118" s="206"/>
      <c r="K118" s="206"/>
      <c r="L118" s="137" t="s">
        <v>179</v>
      </c>
      <c r="M118" s="163" t="s">
        <v>37</v>
      </c>
      <c r="N118" s="163">
        <v>81</v>
      </c>
      <c r="O118" s="288">
        <f>N118/3*0.179</f>
        <v>4.8330000000000002</v>
      </c>
      <c r="P118" s="290" t="s">
        <v>38</v>
      </c>
      <c r="Q118" s="236">
        <f t="shared" ref="Q118:Q124" si="17">SUM(R118,U118)</f>
        <v>0</v>
      </c>
      <c r="R118" s="236">
        <f t="shared" ref="R118:R123" si="18">SUM(S118:T118)</f>
        <v>0</v>
      </c>
      <c r="S118" s="236"/>
      <c r="T118" s="236"/>
      <c r="U118" s="236">
        <f t="shared" si="15"/>
        <v>0</v>
      </c>
      <c r="V118" s="236"/>
      <c r="W118" s="232">
        <f t="shared" si="16"/>
        <v>0</v>
      </c>
      <c r="X118" s="236"/>
      <c r="Y118" s="236"/>
      <c r="Z118" s="236"/>
    </row>
    <row r="119" spans="1:26" hidden="1" outlineLevel="2">
      <c r="A119" s="19"/>
      <c r="B119" s="74" t="s">
        <v>237</v>
      </c>
      <c r="C119" s="207" t="s">
        <v>47</v>
      </c>
      <c r="D119" s="208" t="s">
        <v>238</v>
      </c>
      <c r="E119" s="133"/>
      <c r="F119" s="262" t="s">
        <v>242</v>
      </c>
      <c r="G119" s="138"/>
      <c r="H119" s="135"/>
      <c r="I119" s="206" t="s">
        <v>243</v>
      </c>
      <c r="J119" s="206"/>
      <c r="K119" s="206"/>
      <c r="L119" s="137" t="s">
        <v>162</v>
      </c>
      <c r="M119" s="163" t="s">
        <v>44</v>
      </c>
      <c r="N119" s="163">
        <v>3.9</v>
      </c>
      <c r="O119" s="288">
        <f>ROUND(N119/100/0.048,3)</f>
        <v>0.81299999999999994</v>
      </c>
      <c r="P119" s="290" t="s">
        <v>46</v>
      </c>
      <c r="Q119" s="236">
        <f t="shared" si="17"/>
        <v>0</v>
      </c>
      <c r="R119" s="236">
        <f t="shared" si="18"/>
        <v>0</v>
      </c>
      <c r="S119" s="236"/>
      <c r="T119" s="236"/>
      <c r="U119" s="236">
        <f t="shared" si="15"/>
        <v>0</v>
      </c>
      <c r="V119" s="236"/>
      <c r="W119" s="232">
        <f t="shared" si="16"/>
        <v>0</v>
      </c>
      <c r="X119" s="236"/>
      <c r="Y119" s="236"/>
      <c r="Z119" s="236"/>
    </row>
    <row r="120" spans="1:26" hidden="1" outlineLevel="2">
      <c r="A120" s="19"/>
      <c r="B120" s="74" t="s">
        <v>237</v>
      </c>
      <c r="C120" s="207" t="s">
        <v>47</v>
      </c>
      <c r="D120" s="208" t="s">
        <v>238</v>
      </c>
      <c r="E120" s="133"/>
      <c r="F120" s="262" t="s">
        <v>239</v>
      </c>
      <c r="G120" s="138"/>
      <c r="H120" s="135"/>
      <c r="I120" s="206" t="s">
        <v>243</v>
      </c>
      <c r="J120" s="206"/>
      <c r="K120" s="206"/>
      <c r="L120" s="137" t="s">
        <v>165</v>
      </c>
      <c r="M120" s="163" t="s">
        <v>44</v>
      </c>
      <c r="N120" s="163">
        <v>11.9</v>
      </c>
      <c r="O120" s="293"/>
      <c r="P120" s="290" t="s">
        <v>46</v>
      </c>
      <c r="Q120" s="236">
        <f t="shared" si="17"/>
        <v>0</v>
      </c>
      <c r="R120" s="236">
        <f t="shared" si="18"/>
        <v>0</v>
      </c>
      <c r="S120" s="236"/>
      <c r="T120" s="236"/>
      <c r="U120" s="236">
        <f t="shared" si="15"/>
        <v>0</v>
      </c>
      <c r="V120" s="236"/>
      <c r="W120" s="232">
        <f t="shared" si="16"/>
        <v>0</v>
      </c>
      <c r="X120" s="236"/>
      <c r="Y120" s="236"/>
      <c r="Z120" s="236"/>
    </row>
    <row r="121" spans="1:26" ht="22.5" hidden="1" outlineLevel="2">
      <c r="A121" s="19"/>
      <c r="B121" s="74" t="s">
        <v>237</v>
      </c>
      <c r="C121" s="207" t="s">
        <v>47</v>
      </c>
      <c r="D121" s="208" t="s">
        <v>238</v>
      </c>
      <c r="E121" s="133"/>
      <c r="F121" s="262" t="s">
        <v>240</v>
      </c>
      <c r="G121" s="138"/>
      <c r="H121" s="135"/>
      <c r="I121" s="206" t="s">
        <v>243</v>
      </c>
      <c r="J121" s="206"/>
      <c r="K121" s="206"/>
      <c r="L121" s="137" t="s">
        <v>159</v>
      </c>
      <c r="M121" s="163" t="s">
        <v>44</v>
      </c>
      <c r="N121" s="163">
        <v>19.899999999999999</v>
      </c>
      <c r="O121" s="288">
        <f>ROUND(N121/100/0.048,3)</f>
        <v>4.1459999999999999</v>
      </c>
      <c r="P121" s="290"/>
      <c r="Q121" s="236">
        <f t="shared" si="17"/>
        <v>0</v>
      </c>
      <c r="R121" s="236">
        <f t="shared" si="18"/>
        <v>0</v>
      </c>
      <c r="S121" s="236"/>
      <c r="T121" s="236"/>
      <c r="U121" s="236">
        <f t="shared" si="15"/>
        <v>0</v>
      </c>
      <c r="V121" s="236"/>
      <c r="W121" s="232">
        <f t="shared" si="16"/>
        <v>0</v>
      </c>
      <c r="X121" s="236"/>
      <c r="Y121" s="236"/>
      <c r="Z121" s="236"/>
    </row>
    <row r="122" spans="1:26" hidden="1" outlineLevel="2">
      <c r="A122" s="160"/>
      <c r="B122" s="74"/>
      <c r="C122" s="207"/>
      <c r="D122" s="208"/>
      <c r="E122" s="133"/>
      <c r="F122" s="261"/>
      <c r="G122" s="138"/>
      <c r="H122" s="139"/>
      <c r="I122" s="206"/>
      <c r="J122" s="206"/>
      <c r="K122" s="206"/>
      <c r="L122" s="137"/>
      <c r="M122" s="74"/>
      <c r="N122" s="74"/>
      <c r="O122" s="19"/>
      <c r="P122" s="290"/>
      <c r="Q122" s="236">
        <f t="shared" si="17"/>
        <v>0</v>
      </c>
      <c r="R122" s="236">
        <f t="shared" si="18"/>
        <v>0</v>
      </c>
      <c r="S122" s="235"/>
      <c r="T122" s="235"/>
      <c r="U122" s="236">
        <f t="shared" si="15"/>
        <v>0</v>
      </c>
      <c r="V122" s="235"/>
      <c r="W122" s="232">
        <f t="shared" si="16"/>
        <v>0</v>
      </c>
      <c r="X122" s="235"/>
      <c r="Y122" s="235"/>
      <c r="Z122" s="235"/>
    </row>
    <row r="123" spans="1:26" hidden="1" outlineLevel="2">
      <c r="A123" s="160"/>
      <c r="B123" s="74"/>
      <c r="C123" s="207"/>
      <c r="D123" s="208"/>
      <c r="E123" s="133"/>
      <c r="F123" s="261"/>
      <c r="G123" s="138"/>
      <c r="H123" s="139"/>
      <c r="I123" s="206"/>
      <c r="J123" s="206"/>
      <c r="K123" s="206"/>
      <c r="L123" s="137"/>
      <c r="M123" s="74"/>
      <c r="N123" s="19"/>
      <c r="O123" s="19"/>
      <c r="P123" s="290"/>
      <c r="Q123" s="236">
        <f t="shared" si="17"/>
        <v>0</v>
      </c>
      <c r="R123" s="236">
        <f t="shared" si="18"/>
        <v>0</v>
      </c>
      <c r="S123" s="235"/>
      <c r="T123" s="235"/>
      <c r="U123" s="236">
        <f t="shared" si="15"/>
        <v>0</v>
      </c>
      <c r="V123" s="235"/>
      <c r="W123" s="232">
        <f t="shared" si="16"/>
        <v>0</v>
      </c>
      <c r="X123" s="235"/>
      <c r="Y123" s="235"/>
      <c r="Z123" s="235"/>
    </row>
    <row r="124" spans="1:26" hidden="1" outlineLevel="2">
      <c r="A124" s="160"/>
      <c r="B124" s="74"/>
      <c r="C124" s="207"/>
      <c r="D124" s="208"/>
      <c r="E124" s="133"/>
      <c r="F124" s="261"/>
      <c r="G124" s="138"/>
      <c r="H124" s="139"/>
      <c r="I124" s="206"/>
      <c r="J124" s="206"/>
      <c r="K124" s="206"/>
      <c r="L124" s="137"/>
      <c r="M124" s="74"/>
      <c r="N124" s="19"/>
      <c r="O124" s="19"/>
      <c r="P124" s="290"/>
      <c r="Q124" s="236">
        <f t="shared" si="17"/>
        <v>0</v>
      </c>
      <c r="R124" s="236">
        <f>SUM(S124:T124)</f>
        <v>0</v>
      </c>
      <c r="S124" s="235"/>
      <c r="T124" s="235"/>
      <c r="U124" s="236">
        <f t="shared" si="15"/>
        <v>0</v>
      </c>
      <c r="V124" s="235"/>
      <c r="W124" s="232">
        <f t="shared" si="16"/>
        <v>0</v>
      </c>
      <c r="X124" s="235"/>
      <c r="Y124" s="235"/>
      <c r="Z124" s="235"/>
    </row>
    <row r="125" spans="1:26" hidden="1" outlineLevel="2">
      <c r="A125" s="164"/>
      <c r="B125" s="351"/>
      <c r="C125" s="227"/>
      <c r="D125" s="228"/>
      <c r="E125" s="165"/>
      <c r="F125" s="279"/>
      <c r="G125" s="166"/>
      <c r="H125" s="167"/>
      <c r="I125" s="229"/>
      <c r="J125" s="229"/>
      <c r="K125" s="229"/>
      <c r="L125" s="230"/>
      <c r="M125" s="351"/>
      <c r="N125" s="168"/>
      <c r="O125" s="168"/>
      <c r="P125" s="291"/>
      <c r="Q125" s="233"/>
      <c r="R125" s="233"/>
      <c r="S125" s="233"/>
      <c r="T125" s="233"/>
      <c r="U125" s="233"/>
      <c r="V125" s="233"/>
      <c r="W125" s="233"/>
      <c r="X125" s="233"/>
      <c r="Y125" s="233"/>
      <c r="Z125" s="233"/>
    </row>
    <row r="126" spans="1:26" s="75" customFormat="1" ht="59.25" customHeight="1" outlineLevel="1" collapsed="1">
      <c r="A126" s="247"/>
      <c r="B126" s="248" t="s">
        <v>237</v>
      </c>
      <c r="C126" s="249" t="s">
        <v>47</v>
      </c>
      <c r="D126" s="250" t="s">
        <v>238</v>
      </c>
      <c r="E126" s="251"/>
      <c r="F126" s="263" t="s">
        <v>263</v>
      </c>
      <c r="G126" s="252"/>
      <c r="H126" s="253"/>
      <c r="I126" s="254" t="s">
        <v>48</v>
      </c>
      <c r="J126" s="254"/>
      <c r="K126" s="254"/>
      <c r="L126" s="149" t="str">
        <f>CONCATENATE(L127," ",N127,M127," ",L128," ",N128,M128," "," ",L129," ",N129,M129," ",L130," ",N130,M130," ",L131," ",N131,M131," ",L132," ",N132,M132," ",L133," ",N133,M133," ",L134," ",N134,M134)</f>
        <v xml:space="preserve">Бурение скважин, установка приставок 84шт. Монтаж опор 33шт.  Демонтаж опор 32шт. Восстановление фундаментов опор 3шт. Ручная расчистка 3,76Га. Расширение просек 11,9Га. Механизированная расчистка 19,06Га.  </v>
      </c>
      <c r="M126" s="253"/>
      <c r="N126" s="253"/>
      <c r="O126" s="294">
        <f>SUM(O127:O134)</f>
        <v>11.27</v>
      </c>
      <c r="P126" s="292" t="s">
        <v>45</v>
      </c>
      <c r="Q126" s="256">
        <f>SUM(Q127:Q134)</f>
        <v>0</v>
      </c>
      <c r="R126" s="256">
        <f t="shared" ref="R126:Y126" si="19">SUM(R127:R134)</f>
        <v>0</v>
      </c>
      <c r="S126" s="256">
        <f t="shared" si="19"/>
        <v>0</v>
      </c>
      <c r="T126" s="256">
        <f t="shared" si="19"/>
        <v>0</v>
      </c>
      <c r="U126" s="256">
        <f t="shared" si="19"/>
        <v>0</v>
      </c>
      <c r="V126" s="256">
        <f t="shared" si="19"/>
        <v>0</v>
      </c>
      <c r="W126" s="256">
        <f t="shared" si="19"/>
        <v>0</v>
      </c>
      <c r="X126" s="256">
        <f t="shared" si="19"/>
        <v>0</v>
      </c>
      <c r="Y126" s="256">
        <f t="shared" si="19"/>
        <v>0</v>
      </c>
      <c r="Z126" s="256">
        <f>SUM(Z127:Z134)</f>
        <v>0</v>
      </c>
    </row>
    <row r="127" spans="1:26" ht="21.75" hidden="1" customHeight="1" outlineLevel="2">
      <c r="A127" s="19"/>
      <c r="B127" s="74" t="s">
        <v>237</v>
      </c>
      <c r="C127" s="207" t="s">
        <v>47</v>
      </c>
      <c r="D127" s="208" t="s">
        <v>238</v>
      </c>
      <c r="E127" s="133"/>
      <c r="F127" s="262" t="s">
        <v>268</v>
      </c>
      <c r="G127" s="138"/>
      <c r="H127" s="135"/>
      <c r="I127" s="206" t="s">
        <v>48</v>
      </c>
      <c r="J127" s="206"/>
      <c r="K127" s="206"/>
      <c r="L127" s="137" t="s">
        <v>241</v>
      </c>
      <c r="M127" s="163" t="s">
        <v>37</v>
      </c>
      <c r="N127" s="163">
        <v>84</v>
      </c>
      <c r="O127" s="288"/>
      <c r="P127" s="290" t="s">
        <v>38</v>
      </c>
      <c r="Q127" s="236">
        <f>SUM(R127,U127)</f>
        <v>0</v>
      </c>
      <c r="R127" s="236">
        <f>SUM(S127:T127)</f>
        <v>0</v>
      </c>
      <c r="S127" s="236"/>
      <c r="T127" s="236"/>
      <c r="U127" s="236">
        <f>SUM(V127:Y127)</f>
        <v>0</v>
      </c>
      <c r="V127" s="236"/>
      <c r="W127" s="232">
        <f>V127*0.304</f>
        <v>0</v>
      </c>
      <c r="X127" s="236"/>
      <c r="Y127" s="236"/>
      <c r="Z127" s="236"/>
    </row>
    <row r="128" spans="1:26" ht="17.25" hidden="1" customHeight="1" outlineLevel="2">
      <c r="A128" s="623"/>
      <c r="B128" s="625" t="s">
        <v>237</v>
      </c>
      <c r="C128" s="627" t="s">
        <v>47</v>
      </c>
      <c r="D128" s="629" t="s">
        <v>238</v>
      </c>
      <c r="E128" s="631"/>
      <c r="F128" s="613" t="s">
        <v>269</v>
      </c>
      <c r="G128" s="615"/>
      <c r="H128" s="617"/>
      <c r="I128" s="619" t="s">
        <v>48</v>
      </c>
      <c r="J128" s="619"/>
      <c r="K128" s="619"/>
      <c r="L128" s="137" t="s">
        <v>113</v>
      </c>
      <c r="M128" s="163" t="s">
        <v>37</v>
      </c>
      <c r="N128" s="163">
        <v>33</v>
      </c>
      <c r="O128" s="635">
        <f>N128*0.181</f>
        <v>5.9729999999999999</v>
      </c>
      <c r="P128" s="637" t="s">
        <v>38</v>
      </c>
      <c r="Q128" s="633">
        <f t="shared" ref="Q128:Q134" si="20">SUM(R128,U128)</f>
        <v>0</v>
      </c>
      <c r="R128" s="633">
        <f t="shared" ref="R128:R133" si="21">SUM(S128:T128)</f>
        <v>0</v>
      </c>
      <c r="S128" s="633"/>
      <c r="T128" s="633"/>
      <c r="U128" s="633">
        <f t="shared" ref="U128:U134" si="22">SUM(V128:Y128)</f>
        <v>0</v>
      </c>
      <c r="V128" s="633"/>
      <c r="W128" s="633">
        <f t="shared" ref="W128:W134" si="23">V128*0.304</f>
        <v>0</v>
      </c>
      <c r="X128" s="633"/>
      <c r="Y128" s="633"/>
      <c r="Z128" s="633"/>
    </row>
    <row r="129" spans="1:26" hidden="1" outlineLevel="2">
      <c r="A129" s="624"/>
      <c r="B129" s="626"/>
      <c r="C129" s="628"/>
      <c r="D129" s="630"/>
      <c r="E129" s="632"/>
      <c r="F129" s="614"/>
      <c r="G129" s="616"/>
      <c r="H129" s="618"/>
      <c r="I129" s="620"/>
      <c r="J129" s="620"/>
      <c r="K129" s="620"/>
      <c r="L129" s="137" t="s">
        <v>112</v>
      </c>
      <c r="M129" s="74" t="s">
        <v>37</v>
      </c>
      <c r="N129" s="74">
        <v>32</v>
      </c>
      <c r="O129" s="636"/>
      <c r="P129" s="638"/>
      <c r="Q129" s="634"/>
      <c r="R129" s="634">
        <f t="shared" si="21"/>
        <v>0</v>
      </c>
      <c r="S129" s="634"/>
      <c r="T129" s="634"/>
      <c r="U129" s="634">
        <f t="shared" si="22"/>
        <v>0</v>
      </c>
      <c r="V129" s="634"/>
      <c r="W129" s="634">
        <f t="shared" si="23"/>
        <v>0</v>
      </c>
      <c r="X129" s="634"/>
      <c r="Y129" s="634"/>
      <c r="Z129" s="634"/>
    </row>
    <row r="130" spans="1:26" ht="21" hidden="1" customHeight="1" outlineLevel="2">
      <c r="A130" s="19"/>
      <c r="B130" s="74" t="s">
        <v>237</v>
      </c>
      <c r="C130" s="207" t="s">
        <v>47</v>
      </c>
      <c r="D130" s="208" t="s">
        <v>238</v>
      </c>
      <c r="E130" s="133"/>
      <c r="F130" s="262" t="s">
        <v>244</v>
      </c>
      <c r="G130" s="138"/>
      <c r="H130" s="135"/>
      <c r="I130" s="206" t="s">
        <v>48</v>
      </c>
      <c r="J130" s="206"/>
      <c r="K130" s="206"/>
      <c r="L130" s="137" t="s">
        <v>246</v>
      </c>
      <c r="M130" s="163" t="s">
        <v>37</v>
      </c>
      <c r="N130" s="163">
        <v>3</v>
      </c>
      <c r="O130" s="288">
        <f>N130*0.181</f>
        <v>0.54299999999999993</v>
      </c>
      <c r="P130" s="290" t="s">
        <v>46</v>
      </c>
      <c r="Q130" s="236">
        <f t="shared" si="20"/>
        <v>0</v>
      </c>
      <c r="R130" s="236">
        <f t="shared" si="21"/>
        <v>0</v>
      </c>
      <c r="S130" s="236"/>
      <c r="T130" s="236"/>
      <c r="U130" s="236">
        <f t="shared" si="22"/>
        <v>0</v>
      </c>
      <c r="V130" s="236"/>
      <c r="W130" s="232">
        <f t="shared" si="23"/>
        <v>0</v>
      </c>
      <c r="X130" s="236"/>
      <c r="Y130" s="236"/>
      <c r="Z130" s="236"/>
    </row>
    <row r="131" spans="1:26" hidden="1" outlineLevel="2">
      <c r="A131" s="19"/>
      <c r="B131" s="74" t="s">
        <v>237</v>
      </c>
      <c r="C131" s="207" t="s">
        <v>47</v>
      </c>
      <c r="D131" s="208" t="s">
        <v>238</v>
      </c>
      <c r="E131" s="133"/>
      <c r="F131" s="262" t="s">
        <v>247</v>
      </c>
      <c r="G131" s="138"/>
      <c r="H131" s="135"/>
      <c r="I131" s="206" t="s">
        <v>243</v>
      </c>
      <c r="J131" s="206"/>
      <c r="K131" s="206"/>
      <c r="L131" s="137" t="s">
        <v>162</v>
      </c>
      <c r="M131" s="163" t="s">
        <v>44</v>
      </c>
      <c r="N131" s="163">
        <v>3.76</v>
      </c>
      <c r="O131" s="288">
        <f>ROUND(N131/100/0.048,3)</f>
        <v>0.78300000000000003</v>
      </c>
      <c r="P131" s="290" t="s">
        <v>46</v>
      </c>
      <c r="Q131" s="236">
        <f t="shared" si="20"/>
        <v>0</v>
      </c>
      <c r="R131" s="236">
        <f t="shared" si="21"/>
        <v>0</v>
      </c>
      <c r="S131" s="236"/>
      <c r="T131" s="236"/>
      <c r="U131" s="236">
        <f t="shared" si="22"/>
        <v>0</v>
      </c>
      <c r="V131" s="236"/>
      <c r="W131" s="232">
        <f t="shared" si="23"/>
        <v>0</v>
      </c>
      <c r="X131" s="236"/>
      <c r="Y131" s="236"/>
      <c r="Z131" s="236"/>
    </row>
    <row r="132" spans="1:26" hidden="1" outlineLevel="2">
      <c r="A132" s="160"/>
      <c r="B132" s="74" t="s">
        <v>237</v>
      </c>
      <c r="C132" s="207" t="s">
        <v>47</v>
      </c>
      <c r="D132" s="208" t="s">
        <v>238</v>
      </c>
      <c r="E132" s="133"/>
      <c r="F132" s="262" t="s">
        <v>248</v>
      </c>
      <c r="G132" s="138"/>
      <c r="H132" s="139"/>
      <c r="I132" s="206" t="s">
        <v>243</v>
      </c>
      <c r="J132" s="206"/>
      <c r="K132" s="206"/>
      <c r="L132" s="137" t="s">
        <v>165</v>
      </c>
      <c r="M132" s="163" t="s">
        <v>44</v>
      </c>
      <c r="N132" s="258">
        <v>11.9</v>
      </c>
      <c r="O132" s="295"/>
      <c r="P132" s="290" t="s">
        <v>46</v>
      </c>
      <c r="Q132" s="236">
        <f t="shared" si="20"/>
        <v>0</v>
      </c>
      <c r="R132" s="236">
        <f t="shared" si="21"/>
        <v>0</v>
      </c>
      <c r="S132" s="235"/>
      <c r="T132" s="235"/>
      <c r="U132" s="236">
        <f t="shared" si="22"/>
        <v>0</v>
      </c>
      <c r="V132" s="235"/>
      <c r="W132" s="232">
        <f t="shared" si="23"/>
        <v>0</v>
      </c>
      <c r="X132" s="235"/>
      <c r="Y132" s="235"/>
      <c r="Z132" s="235"/>
    </row>
    <row r="133" spans="1:26" hidden="1" outlineLevel="2">
      <c r="A133" s="160"/>
      <c r="B133" s="74" t="s">
        <v>237</v>
      </c>
      <c r="C133" s="207" t="s">
        <v>47</v>
      </c>
      <c r="D133" s="208" t="s">
        <v>238</v>
      </c>
      <c r="E133" s="133"/>
      <c r="F133" s="262" t="s">
        <v>249</v>
      </c>
      <c r="G133" s="138"/>
      <c r="H133" s="139"/>
      <c r="I133" s="206" t="s">
        <v>243</v>
      </c>
      <c r="J133" s="206"/>
      <c r="K133" s="206"/>
      <c r="L133" s="137" t="s">
        <v>159</v>
      </c>
      <c r="M133" s="163" t="s">
        <v>44</v>
      </c>
      <c r="N133" s="19">
        <v>19.059999999999999</v>
      </c>
      <c r="O133" s="288">
        <f>ROUND(N133/100/0.048,3)</f>
        <v>3.9710000000000001</v>
      </c>
      <c r="P133" s="290" t="s">
        <v>46</v>
      </c>
      <c r="Q133" s="236">
        <f t="shared" si="20"/>
        <v>0</v>
      </c>
      <c r="R133" s="236">
        <f t="shared" si="21"/>
        <v>0</v>
      </c>
      <c r="S133" s="235"/>
      <c r="T133" s="235"/>
      <c r="U133" s="236">
        <f t="shared" si="22"/>
        <v>0</v>
      </c>
      <c r="V133" s="235"/>
      <c r="W133" s="232">
        <f t="shared" si="23"/>
        <v>0</v>
      </c>
      <c r="X133" s="235"/>
      <c r="Y133" s="235"/>
      <c r="Z133" s="235"/>
    </row>
    <row r="134" spans="1:26" hidden="1" outlineLevel="2">
      <c r="A134" s="160"/>
      <c r="B134" s="74"/>
      <c r="C134" s="207"/>
      <c r="D134" s="208"/>
      <c r="E134" s="133"/>
      <c r="F134" s="261"/>
      <c r="G134" s="138"/>
      <c r="H134" s="139"/>
      <c r="I134" s="206"/>
      <c r="J134" s="206"/>
      <c r="K134" s="206"/>
      <c r="L134" s="137"/>
      <c r="M134" s="74"/>
      <c r="N134" s="19"/>
      <c r="O134" s="19"/>
      <c r="P134" s="290"/>
      <c r="Q134" s="236">
        <f t="shared" si="20"/>
        <v>0</v>
      </c>
      <c r="R134" s="236">
        <f>SUM(S134:T134)</f>
        <v>0</v>
      </c>
      <c r="S134" s="235"/>
      <c r="T134" s="235"/>
      <c r="U134" s="236">
        <f t="shared" si="22"/>
        <v>0</v>
      </c>
      <c r="V134" s="235"/>
      <c r="W134" s="232">
        <f t="shared" si="23"/>
        <v>0</v>
      </c>
      <c r="X134" s="235"/>
      <c r="Y134" s="235"/>
      <c r="Z134" s="235"/>
    </row>
    <row r="135" spans="1:26" hidden="1" outlineLevel="2">
      <c r="A135" s="164"/>
      <c r="B135" s="351"/>
      <c r="C135" s="227"/>
      <c r="D135" s="228"/>
      <c r="E135" s="165"/>
      <c r="F135" s="279"/>
      <c r="G135" s="166"/>
      <c r="H135" s="167"/>
      <c r="I135" s="229"/>
      <c r="J135" s="229"/>
      <c r="K135" s="229"/>
      <c r="L135" s="230"/>
      <c r="M135" s="351"/>
      <c r="N135" s="168"/>
      <c r="O135" s="168"/>
      <c r="P135" s="291"/>
      <c r="Q135" s="233"/>
      <c r="R135" s="233"/>
      <c r="S135" s="233"/>
      <c r="T135" s="233"/>
      <c r="U135" s="233"/>
      <c r="V135" s="233"/>
      <c r="W135" s="233"/>
      <c r="X135" s="233"/>
      <c r="Y135" s="233"/>
      <c r="Z135" s="233"/>
    </row>
    <row r="136" spans="1:26" s="75" customFormat="1" ht="34.5" customHeight="1" outlineLevel="1" collapsed="1">
      <c r="A136" s="247"/>
      <c r="B136" s="248" t="s">
        <v>237</v>
      </c>
      <c r="C136" s="249" t="s">
        <v>47</v>
      </c>
      <c r="D136" s="250" t="s">
        <v>238</v>
      </c>
      <c r="E136" s="251"/>
      <c r="F136" s="263" t="s">
        <v>262</v>
      </c>
      <c r="G136" s="252"/>
      <c r="H136" s="253"/>
      <c r="I136" s="254" t="s">
        <v>48</v>
      </c>
      <c r="J136" s="254"/>
      <c r="K136" s="254"/>
      <c r="L136" s="149" t="str">
        <f>CONCATENATE(L137," ",N137,M137," ",L138," ",N138,M138," "," ",L139," ",N139,M139," ",L140," ",N140,M140," ",L141," ",N141,M141)</f>
        <v xml:space="preserve">Бурение скважин, установка приставок 56шт. Монтаж опор 22шт.  Демонтаж опор 22шт.    </v>
      </c>
      <c r="M136" s="253"/>
      <c r="N136" s="253"/>
      <c r="O136" s="294">
        <f>SUM(O137:O141)</f>
        <v>3.8939999999999997</v>
      </c>
      <c r="P136" s="292" t="s">
        <v>38</v>
      </c>
      <c r="Q136" s="256">
        <f t="shared" ref="Q136:Z136" si="24">SUM(Q137:Q141)</f>
        <v>0</v>
      </c>
      <c r="R136" s="256">
        <f t="shared" si="24"/>
        <v>0</v>
      </c>
      <c r="S136" s="256">
        <f t="shared" si="24"/>
        <v>0</v>
      </c>
      <c r="T136" s="256">
        <f t="shared" si="24"/>
        <v>0</v>
      </c>
      <c r="U136" s="256">
        <f t="shared" si="24"/>
        <v>0</v>
      </c>
      <c r="V136" s="256">
        <f t="shared" si="24"/>
        <v>0</v>
      </c>
      <c r="W136" s="256">
        <f t="shared" si="24"/>
        <v>0</v>
      </c>
      <c r="X136" s="256">
        <f t="shared" si="24"/>
        <v>0</v>
      </c>
      <c r="Y136" s="256">
        <f t="shared" si="24"/>
        <v>0</v>
      </c>
      <c r="Z136" s="256">
        <f t="shared" si="24"/>
        <v>0</v>
      </c>
    </row>
    <row r="137" spans="1:26" ht="19.5" hidden="1" customHeight="1" outlineLevel="2">
      <c r="A137" s="19"/>
      <c r="B137" s="74" t="s">
        <v>237</v>
      </c>
      <c r="C137" s="207" t="s">
        <v>47</v>
      </c>
      <c r="D137" s="208" t="s">
        <v>238</v>
      </c>
      <c r="E137" s="133"/>
      <c r="F137" s="262" t="s">
        <v>270</v>
      </c>
      <c r="G137" s="138"/>
      <c r="H137" s="135"/>
      <c r="I137" s="206" t="s">
        <v>48</v>
      </c>
      <c r="J137" s="206"/>
      <c r="K137" s="206"/>
      <c r="L137" s="137" t="s">
        <v>241</v>
      </c>
      <c r="M137" s="163" t="s">
        <v>37</v>
      </c>
      <c r="N137" s="163">
        <v>56</v>
      </c>
      <c r="O137" s="288"/>
      <c r="P137" s="290" t="s">
        <v>38</v>
      </c>
      <c r="Q137" s="236">
        <f>SUM(R137,U137)</f>
        <v>0</v>
      </c>
      <c r="R137" s="236">
        <f>SUM(S137:T137)</f>
        <v>0</v>
      </c>
      <c r="S137" s="236"/>
      <c r="T137" s="236"/>
      <c r="U137" s="236">
        <f>SUM(V137:Y137)</f>
        <v>0</v>
      </c>
      <c r="V137" s="236"/>
      <c r="W137" s="232">
        <f>V137*0.304</f>
        <v>0</v>
      </c>
      <c r="X137" s="236"/>
      <c r="Y137" s="236"/>
      <c r="Z137" s="236"/>
    </row>
    <row r="138" spans="1:26" ht="17.25" hidden="1" customHeight="1" outlineLevel="2">
      <c r="A138" s="623"/>
      <c r="B138" s="625" t="s">
        <v>245</v>
      </c>
      <c r="C138" s="627" t="s">
        <v>47</v>
      </c>
      <c r="D138" s="629" t="s">
        <v>238</v>
      </c>
      <c r="E138" s="631"/>
      <c r="F138" s="613" t="s">
        <v>271</v>
      </c>
      <c r="G138" s="615"/>
      <c r="H138" s="617"/>
      <c r="I138" s="619" t="s">
        <v>48</v>
      </c>
      <c r="J138" s="619"/>
      <c r="K138" s="619"/>
      <c r="L138" s="137" t="s">
        <v>113</v>
      </c>
      <c r="M138" s="163" t="s">
        <v>37</v>
      </c>
      <c r="N138" s="163">
        <v>22</v>
      </c>
      <c r="O138" s="635">
        <f>N138*0.177</f>
        <v>3.8939999999999997</v>
      </c>
      <c r="P138" s="637" t="s">
        <v>38</v>
      </c>
      <c r="Q138" s="633">
        <f>SUM(R138,U138)</f>
        <v>0</v>
      </c>
      <c r="R138" s="633">
        <f>SUM(S138:T138)</f>
        <v>0</v>
      </c>
      <c r="S138" s="633"/>
      <c r="T138" s="633"/>
      <c r="U138" s="633">
        <f>SUM(V138:Y138)</f>
        <v>0</v>
      </c>
      <c r="V138" s="633"/>
      <c r="W138" s="633">
        <f>V138*0.304</f>
        <v>0</v>
      </c>
      <c r="X138" s="633"/>
      <c r="Y138" s="633"/>
      <c r="Z138" s="633"/>
    </row>
    <row r="139" spans="1:26" hidden="1" outlineLevel="2">
      <c r="A139" s="624"/>
      <c r="B139" s="626"/>
      <c r="C139" s="628"/>
      <c r="D139" s="630"/>
      <c r="E139" s="632"/>
      <c r="F139" s="614"/>
      <c r="G139" s="616"/>
      <c r="H139" s="618"/>
      <c r="I139" s="620"/>
      <c r="J139" s="620"/>
      <c r="K139" s="620"/>
      <c r="L139" s="137" t="s">
        <v>112</v>
      </c>
      <c r="M139" s="74" t="s">
        <v>37</v>
      </c>
      <c r="N139" s="74">
        <v>22</v>
      </c>
      <c r="O139" s="636"/>
      <c r="P139" s="638"/>
      <c r="Q139" s="634">
        <f>SUM(R139,U139)</f>
        <v>0</v>
      </c>
      <c r="R139" s="634">
        <f>SUM(S139:T139)</f>
        <v>0</v>
      </c>
      <c r="S139" s="634"/>
      <c r="T139" s="634"/>
      <c r="U139" s="634">
        <f>SUM(V139:Y139)</f>
        <v>0</v>
      </c>
      <c r="V139" s="634"/>
      <c r="W139" s="634">
        <f>V139*0.304</f>
        <v>0</v>
      </c>
      <c r="X139" s="634"/>
      <c r="Y139" s="634"/>
      <c r="Z139" s="634"/>
    </row>
    <row r="140" spans="1:26" hidden="1" outlineLevel="2">
      <c r="A140" s="19"/>
      <c r="B140" s="74"/>
      <c r="C140" s="207"/>
      <c r="D140" s="208"/>
      <c r="E140" s="133"/>
      <c r="F140" s="261"/>
      <c r="G140" s="138"/>
      <c r="H140" s="135"/>
      <c r="I140" s="206"/>
      <c r="J140" s="206"/>
      <c r="K140" s="206"/>
      <c r="L140" s="137"/>
      <c r="M140" s="163"/>
      <c r="N140" s="163"/>
      <c r="O140" s="288"/>
      <c r="P140" s="290"/>
      <c r="Q140" s="236">
        <f>SUM(R140,U140)</f>
        <v>0</v>
      </c>
      <c r="R140" s="236">
        <f>SUM(S140:T140)</f>
        <v>0</v>
      </c>
      <c r="S140" s="236"/>
      <c r="T140" s="236"/>
      <c r="U140" s="236">
        <f>SUM(V140:Y140)</f>
        <v>0</v>
      </c>
      <c r="V140" s="236"/>
      <c r="W140" s="232">
        <f>V140*0.304</f>
        <v>0</v>
      </c>
      <c r="X140" s="236"/>
      <c r="Y140" s="236"/>
      <c r="Z140" s="236"/>
    </row>
    <row r="141" spans="1:26" hidden="1" outlineLevel="2">
      <c r="A141" s="19"/>
      <c r="B141" s="74"/>
      <c r="C141" s="207"/>
      <c r="D141" s="208"/>
      <c r="E141" s="133"/>
      <c r="F141" s="261"/>
      <c r="G141" s="138"/>
      <c r="H141" s="135"/>
      <c r="I141" s="206"/>
      <c r="J141" s="206"/>
      <c r="K141" s="206"/>
      <c r="L141" s="137"/>
      <c r="M141" s="163"/>
      <c r="N141" s="163"/>
      <c r="O141" s="288"/>
      <c r="P141" s="290"/>
      <c r="Q141" s="236">
        <f>SUM(R141,U141)</f>
        <v>0</v>
      </c>
      <c r="R141" s="236">
        <f>SUM(S141:T141)</f>
        <v>0</v>
      </c>
      <c r="S141" s="236"/>
      <c r="T141" s="236"/>
      <c r="U141" s="236">
        <f>SUM(V141:Y141)</f>
        <v>0</v>
      </c>
      <c r="V141" s="236"/>
      <c r="W141" s="232">
        <f>V141*0.304</f>
        <v>0</v>
      </c>
      <c r="X141" s="236"/>
      <c r="Y141" s="236"/>
      <c r="Z141" s="236"/>
    </row>
    <row r="142" spans="1:26" hidden="1" outlineLevel="2">
      <c r="A142" s="164"/>
      <c r="B142" s="351"/>
      <c r="C142" s="227"/>
      <c r="D142" s="228"/>
      <c r="E142" s="165"/>
      <c r="F142" s="279"/>
      <c r="G142" s="166"/>
      <c r="H142" s="167"/>
      <c r="I142" s="229"/>
      <c r="J142" s="229"/>
      <c r="K142" s="229"/>
      <c r="L142" s="230"/>
      <c r="M142" s="351"/>
      <c r="N142" s="168"/>
      <c r="O142" s="168"/>
      <c r="P142" s="291"/>
      <c r="Q142" s="233"/>
      <c r="R142" s="233"/>
      <c r="S142" s="233"/>
      <c r="T142" s="233"/>
      <c r="U142" s="233"/>
      <c r="V142" s="233"/>
      <c r="W142" s="233"/>
      <c r="X142" s="233"/>
      <c r="Y142" s="233"/>
      <c r="Z142" s="233"/>
    </row>
    <row r="143" spans="1:26" s="75" customFormat="1" ht="84" outlineLevel="1" collapsed="1">
      <c r="A143" s="247"/>
      <c r="B143" s="248" t="s">
        <v>237</v>
      </c>
      <c r="C143" s="249" t="s">
        <v>47</v>
      </c>
      <c r="D143" s="250" t="s">
        <v>238</v>
      </c>
      <c r="E143" s="251"/>
      <c r="F143" s="286" t="s">
        <v>261</v>
      </c>
      <c r="G143" s="252"/>
      <c r="H143" s="253"/>
      <c r="I143" s="254" t="s">
        <v>48</v>
      </c>
      <c r="J143" s="254"/>
      <c r="K143" s="254"/>
      <c r="L143" s="149" t="str">
        <f>CONCATENATE(L144," ",N144,M144," ",L145," ",N145,M145," "," ",L146," ",N146,M146," ",L147," ",N147,M147)</f>
        <v xml:space="preserve">Ручная расчистка 2,92Га. Устройство насыпи банкетки 7шт.     </v>
      </c>
      <c r="M143" s="253"/>
      <c r="N143" s="253"/>
      <c r="O143" s="294">
        <f>SUM(O144:O147)</f>
        <v>0.60799999999999998</v>
      </c>
      <c r="P143" s="292" t="s">
        <v>46</v>
      </c>
      <c r="Q143" s="256">
        <f t="shared" ref="Q143:Z143" si="25">SUM(Q144:Q147)</f>
        <v>0</v>
      </c>
      <c r="R143" s="256">
        <f t="shared" si="25"/>
        <v>0</v>
      </c>
      <c r="S143" s="256">
        <f t="shared" si="25"/>
        <v>0</v>
      </c>
      <c r="T143" s="256">
        <f t="shared" si="25"/>
        <v>0</v>
      </c>
      <c r="U143" s="256">
        <f t="shared" si="25"/>
        <v>0</v>
      </c>
      <c r="V143" s="256">
        <f t="shared" si="25"/>
        <v>0</v>
      </c>
      <c r="W143" s="256">
        <f t="shared" si="25"/>
        <v>0</v>
      </c>
      <c r="X143" s="256">
        <f t="shared" si="25"/>
        <v>0</v>
      </c>
      <c r="Y143" s="256">
        <f t="shared" si="25"/>
        <v>0</v>
      </c>
      <c r="Z143" s="256">
        <f t="shared" si="25"/>
        <v>0</v>
      </c>
    </row>
    <row r="144" spans="1:26" hidden="1" outlineLevel="2">
      <c r="A144" s="19"/>
      <c r="B144" s="74" t="s">
        <v>237</v>
      </c>
      <c r="C144" s="207" t="s">
        <v>47</v>
      </c>
      <c r="D144" s="208" t="s">
        <v>238</v>
      </c>
      <c r="E144" s="133"/>
      <c r="F144" s="261" t="s">
        <v>250</v>
      </c>
      <c r="G144" s="138"/>
      <c r="H144" s="135"/>
      <c r="I144" s="206" t="s">
        <v>48</v>
      </c>
      <c r="J144" s="206"/>
      <c r="K144" s="206"/>
      <c r="L144" s="137" t="s">
        <v>162</v>
      </c>
      <c r="M144" s="163" t="s">
        <v>44</v>
      </c>
      <c r="N144" s="163">
        <v>2.92</v>
      </c>
      <c r="O144" s="288">
        <f>ROUND(N144/100/0.048,3)</f>
        <v>0.60799999999999998</v>
      </c>
      <c r="P144" s="290" t="s">
        <v>46</v>
      </c>
      <c r="Q144" s="236">
        <f>SUM(R144,U144)</f>
        <v>0</v>
      </c>
      <c r="R144" s="236">
        <f>SUM(S144:T144)</f>
        <v>0</v>
      </c>
      <c r="S144" s="236"/>
      <c r="T144" s="236"/>
      <c r="U144" s="236">
        <f>SUM(V144:Y144)</f>
        <v>0</v>
      </c>
      <c r="V144" s="236"/>
      <c r="W144" s="232">
        <f>V144*0.304</f>
        <v>0</v>
      </c>
      <c r="X144" s="236"/>
      <c r="Y144" s="236"/>
      <c r="Z144" s="236"/>
    </row>
    <row r="145" spans="1:26" hidden="1" outlineLevel="2">
      <c r="A145" s="19"/>
      <c r="B145" s="74" t="s">
        <v>237</v>
      </c>
      <c r="C145" s="207" t="s">
        <v>47</v>
      </c>
      <c r="D145" s="208" t="s">
        <v>238</v>
      </c>
      <c r="E145" s="133"/>
      <c r="F145" s="261" t="s">
        <v>251</v>
      </c>
      <c r="G145" s="138"/>
      <c r="H145" s="135"/>
      <c r="I145" s="206" t="s">
        <v>48</v>
      </c>
      <c r="J145" s="206"/>
      <c r="K145" s="206"/>
      <c r="L145" s="209" t="s">
        <v>211</v>
      </c>
      <c r="M145" s="163" t="s">
        <v>37</v>
      </c>
      <c r="N145" s="163">
        <v>7</v>
      </c>
      <c r="O145" s="288"/>
      <c r="P145" s="290" t="s">
        <v>46</v>
      </c>
      <c r="Q145" s="236">
        <f>SUM(R145,U145)</f>
        <v>0</v>
      </c>
      <c r="R145" s="236">
        <f>SUM(S145:T145)</f>
        <v>0</v>
      </c>
      <c r="S145" s="236"/>
      <c r="T145" s="236"/>
      <c r="U145" s="236">
        <f>SUM(V145:Y145)</f>
        <v>0</v>
      </c>
      <c r="V145" s="236"/>
      <c r="W145" s="232">
        <f>V145*0.304</f>
        <v>0</v>
      </c>
      <c r="X145" s="236"/>
      <c r="Y145" s="236"/>
      <c r="Z145" s="236"/>
    </row>
    <row r="146" spans="1:26" hidden="1" outlineLevel="2">
      <c r="A146" s="19"/>
      <c r="B146" s="74"/>
      <c r="C146" s="207"/>
      <c r="D146" s="208"/>
      <c r="E146" s="133"/>
      <c r="F146" s="261"/>
      <c r="G146" s="138"/>
      <c r="H146" s="135"/>
      <c r="I146" s="206"/>
      <c r="J146" s="206"/>
      <c r="K146" s="206"/>
      <c r="L146" s="137"/>
      <c r="M146" s="163"/>
      <c r="N146" s="163"/>
      <c r="O146" s="288"/>
      <c r="P146" s="290"/>
      <c r="Q146" s="236">
        <f>SUM(R146,U146)</f>
        <v>0</v>
      </c>
      <c r="R146" s="236">
        <f>SUM(S146:T146)</f>
        <v>0</v>
      </c>
      <c r="S146" s="236"/>
      <c r="T146" s="236"/>
      <c r="U146" s="236">
        <f>SUM(V146:Y146)</f>
        <v>0</v>
      </c>
      <c r="V146" s="236"/>
      <c r="W146" s="232">
        <f>V146*0.304</f>
        <v>0</v>
      </c>
      <c r="X146" s="236"/>
      <c r="Y146" s="236"/>
      <c r="Z146" s="236"/>
    </row>
    <row r="147" spans="1:26" hidden="1" outlineLevel="2">
      <c r="A147" s="19"/>
      <c r="B147" s="74"/>
      <c r="C147" s="207"/>
      <c r="D147" s="208"/>
      <c r="E147" s="133"/>
      <c r="F147" s="261"/>
      <c r="G147" s="138"/>
      <c r="H147" s="135"/>
      <c r="I147" s="206"/>
      <c r="J147" s="206"/>
      <c r="K147" s="206"/>
      <c r="L147" s="137"/>
      <c r="M147" s="163"/>
      <c r="N147" s="163"/>
      <c r="O147" s="288"/>
      <c r="P147" s="290"/>
      <c r="Q147" s="236">
        <f>SUM(R147,U147)</f>
        <v>0</v>
      </c>
      <c r="R147" s="236">
        <f>SUM(S147:T147)</f>
        <v>0</v>
      </c>
      <c r="S147" s="236"/>
      <c r="T147" s="236"/>
      <c r="U147" s="236">
        <f>SUM(V147:Y147)</f>
        <v>0</v>
      </c>
      <c r="V147" s="236"/>
      <c r="W147" s="232">
        <f>V147*0.304</f>
        <v>0</v>
      </c>
      <c r="X147" s="236"/>
      <c r="Y147" s="236"/>
      <c r="Z147" s="236"/>
    </row>
    <row r="148" spans="1:26" hidden="1" outlineLevel="2">
      <c r="A148" s="164"/>
      <c r="B148" s="351"/>
      <c r="C148" s="227"/>
      <c r="D148" s="228"/>
      <c r="E148" s="165"/>
      <c r="F148" s="279"/>
      <c r="G148" s="166"/>
      <c r="H148" s="167"/>
      <c r="I148" s="229"/>
      <c r="J148" s="229"/>
      <c r="K148" s="229"/>
      <c r="L148" s="230"/>
      <c r="M148" s="351"/>
      <c r="N148" s="168"/>
      <c r="O148" s="168"/>
      <c r="P148" s="291"/>
      <c r="Q148" s="233"/>
      <c r="R148" s="233"/>
      <c r="S148" s="233"/>
      <c r="T148" s="233"/>
      <c r="U148" s="233"/>
      <c r="V148" s="233"/>
      <c r="W148" s="233"/>
      <c r="X148" s="233"/>
      <c r="Y148" s="233"/>
      <c r="Z148" s="233"/>
    </row>
    <row r="149" spans="1:26" s="75" customFormat="1" ht="36" outlineLevel="1" collapsed="1">
      <c r="A149" s="237"/>
      <c r="B149" s="238" t="s">
        <v>237</v>
      </c>
      <c r="C149" s="239" t="s">
        <v>47</v>
      </c>
      <c r="D149" s="240" t="s">
        <v>238</v>
      </c>
      <c r="E149" s="241"/>
      <c r="F149" s="264" t="s">
        <v>260</v>
      </c>
      <c r="G149" s="242"/>
      <c r="H149" s="243"/>
      <c r="I149" s="244" t="s">
        <v>48</v>
      </c>
      <c r="J149" s="244"/>
      <c r="K149" s="244"/>
      <c r="L149" s="150" t="str">
        <f>CONCATENATE(L150," ",N150,M150," ",L151," ",N151,M151," "," ",L152," ",N152,M152," ",L153," ",N153,M153)</f>
        <v xml:space="preserve">Ручная расчистка 2,32Га. Восстановление фундаментов опор 1шт.     </v>
      </c>
      <c r="M149" s="243"/>
      <c r="N149" s="243"/>
      <c r="O149" s="287">
        <f>SUM(O150:O153)</f>
        <v>0.7649999999999999</v>
      </c>
      <c r="P149" s="289" t="s">
        <v>46</v>
      </c>
      <c r="Q149" s="246">
        <f t="shared" ref="Q149:Z149" si="26">SUM(Q150:Q153)</f>
        <v>0</v>
      </c>
      <c r="R149" s="246">
        <f t="shared" si="26"/>
        <v>0</v>
      </c>
      <c r="S149" s="246">
        <f t="shared" si="26"/>
        <v>0</v>
      </c>
      <c r="T149" s="246">
        <f t="shared" si="26"/>
        <v>0</v>
      </c>
      <c r="U149" s="246">
        <f t="shared" si="26"/>
        <v>0</v>
      </c>
      <c r="V149" s="246">
        <f t="shared" si="26"/>
        <v>0</v>
      </c>
      <c r="W149" s="246">
        <f t="shared" si="26"/>
        <v>0</v>
      </c>
      <c r="X149" s="246">
        <f t="shared" si="26"/>
        <v>0</v>
      </c>
      <c r="Y149" s="246">
        <f t="shared" si="26"/>
        <v>0</v>
      </c>
      <c r="Z149" s="246">
        <f t="shared" si="26"/>
        <v>0</v>
      </c>
    </row>
    <row r="150" spans="1:26" hidden="1" outlineLevel="2">
      <c r="A150" s="19"/>
      <c r="B150" s="74" t="s">
        <v>237</v>
      </c>
      <c r="C150" s="207" t="s">
        <v>47</v>
      </c>
      <c r="D150" s="208" t="s">
        <v>238</v>
      </c>
      <c r="E150" s="133"/>
      <c r="F150" s="261" t="s">
        <v>252</v>
      </c>
      <c r="G150" s="138"/>
      <c r="H150" s="135"/>
      <c r="I150" s="206" t="s">
        <v>48</v>
      </c>
      <c r="J150" s="206"/>
      <c r="K150" s="206"/>
      <c r="L150" s="137" t="s">
        <v>162</v>
      </c>
      <c r="M150" s="163" t="s">
        <v>44</v>
      </c>
      <c r="N150" s="163">
        <v>2.3199999999999998</v>
      </c>
      <c r="O150" s="288">
        <f>ROUND(N150/100/0.048,3)</f>
        <v>0.48299999999999998</v>
      </c>
      <c r="P150" s="290" t="s">
        <v>46</v>
      </c>
      <c r="Q150" s="236">
        <f>SUM(R150,U150)</f>
        <v>0</v>
      </c>
      <c r="R150" s="236">
        <f>SUM(S150:T150)</f>
        <v>0</v>
      </c>
      <c r="S150" s="236"/>
      <c r="T150" s="236"/>
      <c r="U150" s="236">
        <f>SUM(V150:Y150)</f>
        <v>0</v>
      </c>
      <c r="V150" s="236"/>
      <c r="W150" s="232">
        <f>V150*0.304</f>
        <v>0</v>
      </c>
      <c r="X150" s="236"/>
      <c r="Y150" s="236"/>
      <c r="Z150" s="236"/>
    </row>
    <row r="151" spans="1:26" hidden="1" outlineLevel="2">
      <c r="A151" s="19"/>
      <c r="B151" s="74" t="s">
        <v>237</v>
      </c>
      <c r="C151" s="207" t="s">
        <v>47</v>
      </c>
      <c r="D151" s="208" t="s">
        <v>238</v>
      </c>
      <c r="E151" s="133"/>
      <c r="F151" s="261" t="s">
        <v>253</v>
      </c>
      <c r="G151" s="138"/>
      <c r="H151" s="135"/>
      <c r="I151" s="206" t="s">
        <v>48</v>
      </c>
      <c r="J151" s="206"/>
      <c r="K151" s="206"/>
      <c r="L151" s="137" t="s">
        <v>246</v>
      </c>
      <c r="M151" s="163" t="s">
        <v>37</v>
      </c>
      <c r="N151" s="163">
        <v>1</v>
      </c>
      <c r="O151" s="288">
        <f>N151*0.282</f>
        <v>0.28199999999999997</v>
      </c>
      <c r="P151" s="290" t="s">
        <v>46</v>
      </c>
      <c r="Q151" s="236">
        <f>SUM(R151,U151)</f>
        <v>0</v>
      </c>
      <c r="R151" s="236">
        <f>SUM(S151:T151)</f>
        <v>0</v>
      </c>
      <c r="S151" s="236"/>
      <c r="T151" s="236"/>
      <c r="U151" s="236">
        <f>SUM(V151:Y151)</f>
        <v>0</v>
      </c>
      <c r="V151" s="236"/>
      <c r="W151" s="232">
        <f>V151*0.304</f>
        <v>0</v>
      </c>
      <c r="X151" s="236"/>
      <c r="Y151" s="236"/>
      <c r="Z151" s="236"/>
    </row>
    <row r="152" spans="1:26" hidden="1" outlineLevel="2">
      <c r="A152" s="19"/>
      <c r="B152" s="74"/>
      <c r="C152" s="207"/>
      <c r="D152" s="208"/>
      <c r="E152" s="133"/>
      <c r="F152" s="261"/>
      <c r="G152" s="138"/>
      <c r="H152" s="135"/>
      <c r="I152" s="206"/>
      <c r="J152" s="206"/>
      <c r="K152" s="206"/>
      <c r="L152" s="137"/>
      <c r="M152" s="163"/>
      <c r="N152" s="163"/>
      <c r="O152" s="288"/>
      <c r="P152" s="290"/>
      <c r="Q152" s="236">
        <f>SUM(R152,U152)</f>
        <v>0</v>
      </c>
      <c r="R152" s="236">
        <f>SUM(S152:T152)</f>
        <v>0</v>
      </c>
      <c r="S152" s="236"/>
      <c r="T152" s="236"/>
      <c r="U152" s="236">
        <f>SUM(V152:Y152)</f>
        <v>0</v>
      </c>
      <c r="V152" s="236"/>
      <c r="W152" s="232">
        <f>V152*0.304</f>
        <v>0</v>
      </c>
      <c r="X152" s="236"/>
      <c r="Y152" s="236"/>
      <c r="Z152" s="236"/>
    </row>
    <row r="153" spans="1:26" hidden="1" outlineLevel="2">
      <c r="A153" s="19"/>
      <c r="B153" s="74"/>
      <c r="C153" s="207"/>
      <c r="D153" s="208"/>
      <c r="E153" s="133"/>
      <c r="F153" s="261"/>
      <c r="G153" s="138"/>
      <c r="H153" s="135"/>
      <c r="I153" s="206"/>
      <c r="J153" s="206"/>
      <c r="K153" s="206"/>
      <c r="L153" s="137"/>
      <c r="M153" s="163"/>
      <c r="N153" s="163"/>
      <c r="O153" s="288"/>
      <c r="P153" s="290"/>
      <c r="Q153" s="236">
        <f>SUM(R153,U153)</f>
        <v>0</v>
      </c>
      <c r="R153" s="236">
        <f>SUM(S153:T153)</f>
        <v>0</v>
      </c>
      <c r="S153" s="236"/>
      <c r="T153" s="236"/>
      <c r="U153" s="236">
        <f>SUM(V153:Y153)</f>
        <v>0</v>
      </c>
      <c r="V153" s="236"/>
      <c r="W153" s="232">
        <f>V153*0.304</f>
        <v>0</v>
      </c>
      <c r="X153" s="236"/>
      <c r="Y153" s="236"/>
      <c r="Z153" s="236"/>
    </row>
    <row r="154" spans="1:26" hidden="1" outlineLevel="2">
      <c r="A154" s="164"/>
      <c r="B154" s="351"/>
      <c r="C154" s="227"/>
      <c r="D154" s="228"/>
      <c r="E154" s="165"/>
      <c r="F154" s="279"/>
      <c r="G154" s="166"/>
      <c r="H154" s="167"/>
      <c r="I154" s="229"/>
      <c r="J154" s="229"/>
      <c r="K154" s="229"/>
      <c r="L154" s="230"/>
      <c r="M154" s="351"/>
      <c r="N154" s="168"/>
      <c r="O154" s="168"/>
      <c r="P154" s="291"/>
      <c r="Q154" s="233"/>
      <c r="R154" s="233"/>
      <c r="S154" s="233"/>
      <c r="T154" s="233"/>
      <c r="U154" s="233"/>
      <c r="V154" s="233"/>
      <c r="W154" s="233"/>
      <c r="X154" s="233"/>
      <c r="Y154" s="233"/>
      <c r="Z154" s="233"/>
    </row>
    <row r="155" spans="1:26" s="75" customFormat="1" ht="36" outlineLevel="1" collapsed="1">
      <c r="A155" s="237"/>
      <c r="B155" s="238" t="s">
        <v>237</v>
      </c>
      <c r="C155" s="239" t="s">
        <v>47</v>
      </c>
      <c r="D155" s="240" t="s">
        <v>238</v>
      </c>
      <c r="E155" s="241"/>
      <c r="F155" s="264" t="s">
        <v>259</v>
      </c>
      <c r="G155" s="242"/>
      <c r="H155" s="243"/>
      <c r="I155" s="244" t="s">
        <v>48</v>
      </c>
      <c r="J155" s="244"/>
      <c r="K155" s="244"/>
      <c r="L155" s="150" t="str">
        <f>CONCATENATE(L156," ",N156,M156," ",L157," ",N157,M157," "," ",L158," ",N158,M158," ",L159," ",N159,M159)</f>
        <v xml:space="preserve">Ручная расчистка 2,32Га. Восстановление фундаментов опор 2шт.     </v>
      </c>
      <c r="M155" s="243"/>
      <c r="N155" s="243"/>
      <c r="O155" s="287">
        <f>SUM(O156:O159)</f>
        <v>1.0209999999999999</v>
      </c>
      <c r="P155" s="289" t="s">
        <v>46</v>
      </c>
      <c r="Q155" s="246">
        <f t="shared" ref="Q155:Z155" si="27">SUM(Q156:Q159)</f>
        <v>0</v>
      </c>
      <c r="R155" s="246">
        <f t="shared" si="27"/>
        <v>0</v>
      </c>
      <c r="S155" s="246">
        <f t="shared" si="27"/>
        <v>0</v>
      </c>
      <c r="T155" s="246">
        <f t="shared" si="27"/>
        <v>0</v>
      </c>
      <c r="U155" s="246">
        <f t="shared" si="27"/>
        <v>0</v>
      </c>
      <c r="V155" s="246">
        <f t="shared" si="27"/>
        <v>0</v>
      </c>
      <c r="W155" s="246">
        <f t="shared" si="27"/>
        <v>0</v>
      </c>
      <c r="X155" s="246">
        <f t="shared" si="27"/>
        <v>0</v>
      </c>
      <c r="Y155" s="246">
        <f t="shared" si="27"/>
        <v>0</v>
      </c>
      <c r="Z155" s="246">
        <f t="shared" si="27"/>
        <v>0</v>
      </c>
    </row>
    <row r="156" spans="1:26" hidden="1" outlineLevel="2">
      <c r="A156" s="19"/>
      <c r="B156" s="74" t="s">
        <v>237</v>
      </c>
      <c r="C156" s="207" t="s">
        <v>47</v>
      </c>
      <c r="D156" s="208" t="s">
        <v>238</v>
      </c>
      <c r="E156" s="133"/>
      <c r="F156" s="261" t="s">
        <v>254</v>
      </c>
      <c r="G156" s="138"/>
      <c r="H156" s="135"/>
      <c r="I156" s="206" t="s">
        <v>48</v>
      </c>
      <c r="J156" s="206"/>
      <c r="K156" s="206"/>
      <c r="L156" s="137" t="s">
        <v>162</v>
      </c>
      <c r="M156" s="163" t="s">
        <v>44</v>
      </c>
      <c r="N156" s="163">
        <v>2.3199999999999998</v>
      </c>
      <c r="O156" s="288">
        <f>ROUND(N156/100/0.048,3)</f>
        <v>0.48299999999999998</v>
      </c>
      <c r="P156" s="290" t="s">
        <v>46</v>
      </c>
      <c r="Q156" s="236">
        <f>SUM(R156,U156)</f>
        <v>0</v>
      </c>
      <c r="R156" s="236">
        <f>SUM(S156:T156)</f>
        <v>0</v>
      </c>
      <c r="S156" s="236"/>
      <c r="T156" s="236"/>
      <c r="U156" s="236">
        <f>SUM(V156:Y156)</f>
        <v>0</v>
      </c>
      <c r="V156" s="236"/>
      <c r="W156" s="232">
        <f>V156*0.304</f>
        <v>0</v>
      </c>
      <c r="X156" s="236"/>
      <c r="Y156" s="236"/>
      <c r="Z156" s="236"/>
    </row>
    <row r="157" spans="1:26" hidden="1" outlineLevel="2">
      <c r="A157" s="19"/>
      <c r="B157" s="74" t="s">
        <v>237</v>
      </c>
      <c r="C157" s="207" t="s">
        <v>47</v>
      </c>
      <c r="D157" s="208" t="s">
        <v>238</v>
      </c>
      <c r="E157" s="133"/>
      <c r="F157" s="261" t="s">
        <v>255</v>
      </c>
      <c r="G157" s="138"/>
      <c r="H157" s="135"/>
      <c r="I157" s="206" t="s">
        <v>48</v>
      </c>
      <c r="J157" s="206"/>
      <c r="K157" s="206"/>
      <c r="L157" s="137" t="s">
        <v>246</v>
      </c>
      <c r="M157" s="163" t="s">
        <v>37</v>
      </c>
      <c r="N157" s="163">
        <v>2</v>
      </c>
      <c r="O157" s="288">
        <f>N157*0.269</f>
        <v>0.53800000000000003</v>
      </c>
      <c r="P157" s="290" t="s">
        <v>46</v>
      </c>
      <c r="Q157" s="236">
        <f>SUM(R157,U157)</f>
        <v>0</v>
      </c>
      <c r="R157" s="236">
        <f>SUM(S157:T157)</f>
        <v>0</v>
      </c>
      <c r="S157" s="236"/>
      <c r="T157" s="236"/>
      <c r="U157" s="236">
        <f>SUM(V157:Y157)</f>
        <v>0</v>
      </c>
      <c r="V157" s="236"/>
      <c r="W157" s="232">
        <f>V157*0.304</f>
        <v>0</v>
      </c>
      <c r="X157" s="236"/>
      <c r="Y157" s="236"/>
      <c r="Z157" s="236"/>
    </row>
    <row r="158" spans="1:26" hidden="1" outlineLevel="2">
      <c r="A158" s="19"/>
      <c r="B158" s="74"/>
      <c r="C158" s="207"/>
      <c r="D158" s="208"/>
      <c r="E158" s="133"/>
      <c r="F158" s="261"/>
      <c r="G158" s="138"/>
      <c r="H158" s="135"/>
      <c r="I158" s="206"/>
      <c r="J158" s="206"/>
      <c r="K158" s="206"/>
      <c r="L158" s="137"/>
      <c r="M158" s="163"/>
      <c r="N158" s="163"/>
      <c r="O158" s="288"/>
      <c r="P158" s="290"/>
      <c r="Q158" s="236">
        <f>SUM(R158,U158)</f>
        <v>0</v>
      </c>
      <c r="R158" s="236">
        <f>SUM(S158:T158)</f>
        <v>0</v>
      </c>
      <c r="S158" s="236"/>
      <c r="T158" s="236"/>
      <c r="U158" s="236">
        <f>SUM(V158:Y158)</f>
        <v>0</v>
      </c>
      <c r="V158" s="236"/>
      <c r="W158" s="232">
        <f>V158*0.304</f>
        <v>0</v>
      </c>
      <c r="X158" s="236"/>
      <c r="Y158" s="236"/>
      <c r="Z158" s="236"/>
    </row>
    <row r="159" spans="1:26" hidden="1" outlineLevel="2">
      <c r="A159" s="19"/>
      <c r="B159" s="74"/>
      <c r="C159" s="207"/>
      <c r="D159" s="208"/>
      <c r="E159" s="133"/>
      <c r="F159" s="261"/>
      <c r="G159" s="138"/>
      <c r="H159" s="135"/>
      <c r="I159" s="206"/>
      <c r="J159" s="206"/>
      <c r="K159" s="206"/>
      <c r="L159" s="137"/>
      <c r="M159" s="163"/>
      <c r="N159" s="163"/>
      <c r="O159" s="288"/>
      <c r="P159" s="290"/>
      <c r="Q159" s="236">
        <f>SUM(R159,U159)</f>
        <v>0</v>
      </c>
      <c r="R159" s="236">
        <f>SUM(S159:T159)</f>
        <v>0</v>
      </c>
      <c r="S159" s="236"/>
      <c r="T159" s="236"/>
      <c r="U159" s="236">
        <f>SUM(V159:Y159)</f>
        <v>0</v>
      </c>
      <c r="V159" s="236"/>
      <c r="W159" s="232">
        <f>V159*0.304</f>
        <v>0</v>
      </c>
      <c r="X159" s="236"/>
      <c r="Y159" s="236"/>
      <c r="Z159" s="236"/>
    </row>
    <row r="160" spans="1:26" hidden="1" outlineLevel="2">
      <c r="A160" s="164"/>
      <c r="B160" s="351"/>
      <c r="C160" s="227"/>
      <c r="D160" s="228"/>
      <c r="E160" s="165"/>
      <c r="F160" s="279"/>
      <c r="G160" s="166"/>
      <c r="H160" s="167"/>
      <c r="I160" s="229"/>
      <c r="J160" s="229"/>
      <c r="K160" s="229"/>
      <c r="L160" s="230"/>
      <c r="M160" s="351"/>
      <c r="N160" s="168"/>
      <c r="O160" s="168"/>
      <c r="P160" s="291"/>
      <c r="Q160" s="233"/>
      <c r="R160" s="233"/>
      <c r="S160" s="233"/>
      <c r="T160" s="233"/>
      <c r="U160" s="233"/>
      <c r="V160" s="233"/>
      <c r="W160" s="233"/>
      <c r="X160" s="233"/>
      <c r="Y160" s="233"/>
      <c r="Z160" s="233"/>
    </row>
    <row r="161" spans="1:26" s="75" customFormat="1" ht="48" outlineLevel="1" collapsed="1">
      <c r="A161" s="237"/>
      <c r="B161" s="238" t="s">
        <v>237</v>
      </c>
      <c r="C161" s="239" t="s">
        <v>47</v>
      </c>
      <c r="D161" s="240" t="s">
        <v>238</v>
      </c>
      <c r="E161" s="241"/>
      <c r="F161" s="264" t="s">
        <v>258</v>
      </c>
      <c r="G161" s="242"/>
      <c r="H161" s="243"/>
      <c r="I161" s="244" t="s">
        <v>48</v>
      </c>
      <c r="J161" s="244"/>
      <c r="K161" s="244"/>
      <c r="L161" s="150" t="str">
        <f>CONCATENATE(L162," ",N162,M162," ",L163," ",N163,M163," "," ",L164," ",N164,M164," ",L165," ",N165,M165," ",L166," ",N166,M166)</f>
        <v xml:space="preserve">Бурение скважин, установка приставок 22шт. Монтаж опор 5шт.  Демонтаж опор 4шт. Замена фарфоровых /стеклянных/ изоляторов на полимерные 9шт.  </v>
      </c>
      <c r="M161" s="243"/>
      <c r="N161" s="243"/>
      <c r="O161" s="287">
        <f>SUM(O162:O166)</f>
        <v>1.496</v>
      </c>
      <c r="P161" s="289" t="s">
        <v>38</v>
      </c>
      <c r="Q161" s="246">
        <f t="shared" ref="Q161:Z161" si="28">SUM(Q162:Q166)</f>
        <v>0</v>
      </c>
      <c r="R161" s="246">
        <f t="shared" si="28"/>
        <v>0</v>
      </c>
      <c r="S161" s="246">
        <f t="shared" si="28"/>
        <v>0</v>
      </c>
      <c r="T161" s="246">
        <f t="shared" si="28"/>
        <v>0</v>
      </c>
      <c r="U161" s="246">
        <f t="shared" si="28"/>
        <v>0</v>
      </c>
      <c r="V161" s="246">
        <f t="shared" si="28"/>
        <v>0</v>
      </c>
      <c r="W161" s="246">
        <f t="shared" si="28"/>
        <v>0</v>
      </c>
      <c r="X161" s="246">
        <f t="shared" si="28"/>
        <v>0</v>
      </c>
      <c r="Y161" s="246">
        <f t="shared" si="28"/>
        <v>0</v>
      </c>
      <c r="Z161" s="246">
        <f t="shared" si="28"/>
        <v>0</v>
      </c>
    </row>
    <row r="162" spans="1:26" ht="33" hidden="1" outlineLevel="2">
      <c r="A162" s="334"/>
      <c r="B162" s="74" t="s">
        <v>237</v>
      </c>
      <c r="C162" s="207" t="s">
        <v>47</v>
      </c>
      <c r="D162" s="208" t="s">
        <v>238</v>
      </c>
      <c r="E162" s="136"/>
      <c r="F162" s="336" t="s">
        <v>257</v>
      </c>
      <c r="G162" s="134"/>
      <c r="H162" s="260"/>
      <c r="I162" s="337" t="s">
        <v>48</v>
      </c>
      <c r="J162" s="337"/>
      <c r="K162" s="337"/>
      <c r="L162" s="137" t="s">
        <v>241</v>
      </c>
      <c r="M162" s="259" t="s">
        <v>37</v>
      </c>
      <c r="N162" s="259">
        <v>22</v>
      </c>
      <c r="O162" s="338"/>
      <c r="P162" s="339" t="s">
        <v>38</v>
      </c>
      <c r="Q162" s="333">
        <f>SUM(R162,U162)</f>
        <v>0</v>
      </c>
      <c r="R162" s="333">
        <f>SUM(S162:T162)</f>
        <v>0</v>
      </c>
      <c r="S162" s="333"/>
      <c r="T162" s="333"/>
      <c r="U162" s="333">
        <f>SUM(V162:Y162)</f>
        <v>0</v>
      </c>
      <c r="V162" s="333"/>
      <c r="W162" s="350">
        <f>V162*0.304</f>
        <v>0</v>
      </c>
      <c r="X162" s="333"/>
      <c r="Y162" s="333"/>
      <c r="Z162" s="333"/>
    </row>
    <row r="163" spans="1:26" ht="17.25" hidden="1" customHeight="1" outlineLevel="2">
      <c r="A163" s="623"/>
      <c r="B163" s="625" t="s">
        <v>237</v>
      </c>
      <c r="C163" s="627" t="s">
        <v>47</v>
      </c>
      <c r="D163" s="629" t="s">
        <v>238</v>
      </c>
      <c r="E163" s="631"/>
      <c r="F163" s="613" t="s">
        <v>272</v>
      </c>
      <c r="G163" s="615"/>
      <c r="H163" s="617"/>
      <c r="I163" s="619" t="s">
        <v>48</v>
      </c>
      <c r="J163" s="619"/>
      <c r="K163" s="619"/>
      <c r="L163" s="137" t="s">
        <v>113</v>
      </c>
      <c r="M163" s="163" t="s">
        <v>37</v>
      </c>
      <c r="N163" s="163">
        <v>5</v>
      </c>
      <c r="O163" s="635">
        <f>N163*0.187</f>
        <v>0.93500000000000005</v>
      </c>
      <c r="P163" s="637" t="s">
        <v>38</v>
      </c>
      <c r="Q163" s="633">
        <f>SUM(R163,U163)</f>
        <v>0</v>
      </c>
      <c r="R163" s="633">
        <f>SUM(S163:T163)</f>
        <v>0</v>
      </c>
      <c r="S163" s="633"/>
      <c r="T163" s="633"/>
      <c r="U163" s="633">
        <f>SUM(V163:Y163)</f>
        <v>0</v>
      </c>
      <c r="V163" s="633"/>
      <c r="W163" s="633">
        <f>V163*0.304</f>
        <v>0</v>
      </c>
      <c r="X163" s="633"/>
      <c r="Y163" s="633"/>
      <c r="Z163" s="633"/>
    </row>
    <row r="164" spans="1:26" hidden="1" outlineLevel="2">
      <c r="A164" s="624"/>
      <c r="B164" s="626" t="s">
        <v>256</v>
      </c>
      <c r="C164" s="628" t="s">
        <v>47</v>
      </c>
      <c r="D164" s="630" t="s">
        <v>238</v>
      </c>
      <c r="E164" s="632"/>
      <c r="F164" s="614"/>
      <c r="G164" s="616"/>
      <c r="H164" s="618"/>
      <c r="I164" s="620" t="s">
        <v>48</v>
      </c>
      <c r="J164" s="620"/>
      <c r="K164" s="620"/>
      <c r="L164" s="137" t="s">
        <v>112</v>
      </c>
      <c r="M164" s="74" t="s">
        <v>37</v>
      </c>
      <c r="N164" s="74">
        <v>4</v>
      </c>
      <c r="O164" s="636"/>
      <c r="P164" s="638"/>
      <c r="Q164" s="634">
        <f>SUM(R164,U164)</f>
        <v>0</v>
      </c>
      <c r="R164" s="634">
        <f>SUM(S164:T164)</f>
        <v>0</v>
      </c>
      <c r="S164" s="634"/>
      <c r="T164" s="634"/>
      <c r="U164" s="634">
        <f>SUM(V164:Y164)</f>
        <v>0</v>
      </c>
      <c r="V164" s="634"/>
      <c r="W164" s="634">
        <f>V164*0.304</f>
        <v>0</v>
      </c>
      <c r="X164" s="634"/>
      <c r="Y164" s="634"/>
      <c r="Z164" s="634"/>
    </row>
    <row r="165" spans="1:26" hidden="1" outlineLevel="2">
      <c r="A165" s="19"/>
      <c r="B165" s="74" t="s">
        <v>237</v>
      </c>
      <c r="C165" s="207" t="s">
        <v>47</v>
      </c>
      <c r="D165" s="208" t="s">
        <v>238</v>
      </c>
      <c r="E165" s="133"/>
      <c r="F165" s="262" t="s">
        <v>275</v>
      </c>
      <c r="G165" s="138"/>
      <c r="H165" s="135"/>
      <c r="I165" s="337" t="s">
        <v>48</v>
      </c>
      <c r="J165" s="206"/>
      <c r="K165" s="206"/>
      <c r="L165" s="137" t="s">
        <v>179</v>
      </c>
      <c r="M165" s="163" t="s">
        <v>37</v>
      </c>
      <c r="N165" s="163">
        <v>9</v>
      </c>
      <c r="O165" s="288">
        <f>N165/3*0.187</f>
        <v>0.56099999999999994</v>
      </c>
      <c r="P165" s="290" t="s">
        <v>38</v>
      </c>
      <c r="Q165" s="236">
        <f>SUM(R165,U165)</f>
        <v>0</v>
      </c>
      <c r="R165" s="236">
        <f>SUM(S165:T165)</f>
        <v>0</v>
      </c>
      <c r="S165" s="236"/>
      <c r="T165" s="236"/>
      <c r="U165" s="236">
        <f>SUM(V165:Y165)</f>
        <v>0</v>
      </c>
      <c r="V165" s="236"/>
      <c r="W165" s="232">
        <f>V165*0.304</f>
        <v>0</v>
      </c>
      <c r="X165" s="236"/>
      <c r="Y165" s="236"/>
      <c r="Z165" s="236"/>
    </row>
    <row r="166" spans="1:26" hidden="1" outlineLevel="2">
      <c r="A166" s="19"/>
      <c r="B166" s="74"/>
      <c r="C166" s="207"/>
      <c r="D166" s="208"/>
      <c r="E166" s="133"/>
      <c r="F166" s="261"/>
      <c r="G166" s="138"/>
      <c r="H166" s="135"/>
      <c r="I166" s="206"/>
      <c r="J166" s="206"/>
      <c r="K166" s="206"/>
      <c r="L166" s="137"/>
      <c r="M166" s="163"/>
      <c r="N166" s="163"/>
      <c r="O166" s="288"/>
      <c r="P166" s="290"/>
      <c r="Q166" s="236">
        <f>SUM(R166,U166)</f>
        <v>0</v>
      </c>
      <c r="R166" s="236">
        <f>SUM(S166:T166)</f>
        <v>0</v>
      </c>
      <c r="S166" s="236"/>
      <c r="T166" s="236"/>
      <c r="U166" s="236">
        <f>SUM(V166:Y166)</f>
        <v>0</v>
      </c>
      <c r="V166" s="236"/>
      <c r="W166" s="232">
        <f>V166*0.304</f>
        <v>0</v>
      </c>
      <c r="X166" s="236"/>
      <c r="Y166" s="236"/>
      <c r="Z166" s="236"/>
    </row>
    <row r="167" spans="1:26" hidden="1" outlineLevel="2">
      <c r="A167" s="164"/>
      <c r="B167" s="351"/>
      <c r="C167" s="227"/>
      <c r="D167" s="228"/>
      <c r="E167" s="165"/>
      <c r="F167" s="279"/>
      <c r="G167" s="166"/>
      <c r="H167" s="167"/>
      <c r="I167" s="229"/>
      <c r="J167" s="229"/>
      <c r="K167" s="229"/>
      <c r="L167" s="230"/>
      <c r="M167" s="351"/>
      <c r="N167" s="168"/>
      <c r="O167" s="168"/>
      <c r="P167" s="291"/>
      <c r="Q167" s="233"/>
      <c r="R167" s="233"/>
      <c r="S167" s="233"/>
      <c r="T167" s="233"/>
      <c r="U167" s="233"/>
      <c r="V167" s="233"/>
      <c r="W167" s="233"/>
      <c r="X167" s="233"/>
      <c r="Y167" s="233"/>
      <c r="Z167" s="233"/>
    </row>
    <row r="168" spans="1:26" s="75" customFormat="1" ht="48" outlineLevel="1" collapsed="1">
      <c r="A168" s="237"/>
      <c r="B168" s="238" t="s">
        <v>237</v>
      </c>
      <c r="C168" s="239" t="s">
        <v>47</v>
      </c>
      <c r="D168" s="240" t="s">
        <v>238</v>
      </c>
      <c r="E168" s="241"/>
      <c r="F168" s="264" t="s">
        <v>265</v>
      </c>
      <c r="G168" s="242"/>
      <c r="H168" s="243"/>
      <c r="I168" s="244" t="s">
        <v>48</v>
      </c>
      <c r="J168" s="244"/>
      <c r="K168" s="244"/>
      <c r="L168" s="150" t="str">
        <f>CONCATENATE(L169," ",N169,M169," ",L170," ",N170,M170," "," ",L171," ",N171,M171," ",L172," ",N172,M172," ",L173," ",N173,M173," ",L174," ",N174,M174)</f>
        <v xml:space="preserve">Бурение скважин, установка приставок 2шт. Монтаж опор 1шт.  Демонтаж опор 1шт. Замена фарфоровых /стеклянных/ изоляторов на полимерные 3шт.    </v>
      </c>
      <c r="M168" s="243"/>
      <c r="N168" s="243"/>
      <c r="O168" s="287">
        <f>SUM(O169:O174)</f>
        <v>0.34</v>
      </c>
      <c r="P168" s="289" t="s">
        <v>38</v>
      </c>
      <c r="Q168" s="246">
        <f t="shared" ref="Q168:Z168" si="29">SUM(Q169:Q174)</f>
        <v>0</v>
      </c>
      <c r="R168" s="246">
        <f t="shared" si="29"/>
        <v>0</v>
      </c>
      <c r="S168" s="246">
        <f t="shared" si="29"/>
        <v>0</v>
      </c>
      <c r="T168" s="246">
        <f t="shared" si="29"/>
        <v>0</v>
      </c>
      <c r="U168" s="246">
        <f t="shared" si="29"/>
        <v>0</v>
      </c>
      <c r="V168" s="246">
        <f t="shared" si="29"/>
        <v>0</v>
      </c>
      <c r="W168" s="246">
        <f t="shared" si="29"/>
        <v>0</v>
      </c>
      <c r="X168" s="246">
        <f t="shared" si="29"/>
        <v>0</v>
      </c>
      <c r="Y168" s="246">
        <f t="shared" si="29"/>
        <v>0</v>
      </c>
      <c r="Z168" s="246">
        <f t="shared" si="29"/>
        <v>0</v>
      </c>
    </row>
    <row r="169" spans="1:26" hidden="1" outlineLevel="2">
      <c r="A169" s="19"/>
      <c r="B169" s="74" t="s">
        <v>237</v>
      </c>
      <c r="C169" s="207" t="s">
        <v>47</v>
      </c>
      <c r="D169" s="208" t="s">
        <v>238</v>
      </c>
      <c r="E169" s="133"/>
      <c r="F169" s="336" t="s">
        <v>274</v>
      </c>
      <c r="G169" s="138"/>
      <c r="H169" s="135"/>
      <c r="I169" s="206" t="s">
        <v>48</v>
      </c>
      <c r="J169" s="206"/>
      <c r="K169" s="206"/>
      <c r="L169" s="137" t="s">
        <v>241</v>
      </c>
      <c r="M169" s="259" t="s">
        <v>37</v>
      </c>
      <c r="N169" s="259">
        <v>2</v>
      </c>
      <c r="O169" s="288"/>
      <c r="P169" s="290" t="s">
        <v>38</v>
      </c>
      <c r="Q169" s="236">
        <f t="shared" ref="Q169:Q174" si="30">SUM(R169,U169)</f>
        <v>0</v>
      </c>
      <c r="R169" s="236">
        <f t="shared" ref="R169:R174" si="31">SUM(S169:T169)</f>
        <v>0</v>
      </c>
      <c r="S169" s="236"/>
      <c r="T169" s="236"/>
      <c r="U169" s="236">
        <f t="shared" ref="U169:U174" si="32">SUM(V169:Y169)</f>
        <v>0</v>
      </c>
      <c r="V169" s="236"/>
      <c r="W169" s="232">
        <f t="shared" ref="W169:W174" si="33">V169*0.304</f>
        <v>0</v>
      </c>
      <c r="X169" s="236"/>
      <c r="Y169" s="236"/>
      <c r="Z169" s="236"/>
    </row>
    <row r="170" spans="1:26" ht="17.25" hidden="1" customHeight="1" outlineLevel="2">
      <c r="A170" s="623"/>
      <c r="B170" s="625" t="s">
        <v>237</v>
      </c>
      <c r="C170" s="627" t="s">
        <v>47</v>
      </c>
      <c r="D170" s="629" t="s">
        <v>238</v>
      </c>
      <c r="E170" s="631"/>
      <c r="F170" s="613" t="s">
        <v>273</v>
      </c>
      <c r="G170" s="615"/>
      <c r="H170" s="617"/>
      <c r="I170" s="619" t="s">
        <v>48</v>
      </c>
      <c r="J170" s="619"/>
      <c r="K170" s="619"/>
      <c r="L170" s="137" t="s">
        <v>113</v>
      </c>
      <c r="M170" s="163" t="s">
        <v>37</v>
      </c>
      <c r="N170" s="163">
        <v>1</v>
      </c>
      <c r="O170" s="635">
        <f>N170*0.17</f>
        <v>0.17</v>
      </c>
      <c r="P170" s="637" t="s">
        <v>38</v>
      </c>
      <c r="Q170" s="633">
        <f t="shared" si="30"/>
        <v>0</v>
      </c>
      <c r="R170" s="633">
        <f t="shared" si="31"/>
        <v>0</v>
      </c>
      <c r="S170" s="633"/>
      <c r="T170" s="633"/>
      <c r="U170" s="633">
        <f t="shared" si="32"/>
        <v>0</v>
      </c>
      <c r="V170" s="633"/>
      <c r="W170" s="633">
        <f t="shared" si="33"/>
        <v>0</v>
      </c>
      <c r="X170" s="633"/>
      <c r="Y170" s="633"/>
      <c r="Z170" s="633"/>
    </row>
    <row r="171" spans="1:26" hidden="1" outlineLevel="2">
      <c r="A171" s="624"/>
      <c r="B171" s="626" t="s">
        <v>256</v>
      </c>
      <c r="C171" s="628" t="s">
        <v>47</v>
      </c>
      <c r="D171" s="630" t="s">
        <v>238</v>
      </c>
      <c r="E171" s="632"/>
      <c r="F171" s="614"/>
      <c r="G171" s="616"/>
      <c r="H171" s="618"/>
      <c r="I171" s="620"/>
      <c r="J171" s="620"/>
      <c r="K171" s="620"/>
      <c r="L171" s="137" t="s">
        <v>112</v>
      </c>
      <c r="M171" s="74" t="s">
        <v>37</v>
      </c>
      <c r="N171" s="74">
        <v>1</v>
      </c>
      <c r="O171" s="636"/>
      <c r="P171" s="638"/>
      <c r="Q171" s="634">
        <f t="shared" si="30"/>
        <v>0</v>
      </c>
      <c r="R171" s="634">
        <f t="shared" si="31"/>
        <v>0</v>
      </c>
      <c r="S171" s="634"/>
      <c r="T171" s="634"/>
      <c r="U171" s="634">
        <f t="shared" si="32"/>
        <v>0</v>
      </c>
      <c r="V171" s="634"/>
      <c r="W171" s="634">
        <f t="shared" si="33"/>
        <v>0</v>
      </c>
      <c r="X171" s="634"/>
      <c r="Y171" s="634"/>
      <c r="Z171" s="634"/>
    </row>
    <row r="172" spans="1:26" hidden="1" outlineLevel="2">
      <c r="A172" s="19"/>
      <c r="B172" s="74" t="s">
        <v>237</v>
      </c>
      <c r="C172" s="207" t="s">
        <v>47</v>
      </c>
      <c r="D172" s="208" t="s">
        <v>238</v>
      </c>
      <c r="E172" s="133"/>
      <c r="F172" s="262" t="s">
        <v>276</v>
      </c>
      <c r="G172" s="138"/>
      <c r="H172" s="135"/>
      <c r="I172" s="206" t="s">
        <v>48</v>
      </c>
      <c r="J172" s="206"/>
      <c r="K172" s="206"/>
      <c r="L172" s="137" t="s">
        <v>179</v>
      </c>
      <c r="M172" s="163" t="s">
        <v>37</v>
      </c>
      <c r="N172" s="163">
        <v>3</v>
      </c>
      <c r="O172" s="288">
        <f>N172/3*0.17</f>
        <v>0.17</v>
      </c>
      <c r="P172" s="290" t="s">
        <v>38</v>
      </c>
      <c r="Q172" s="236">
        <f t="shared" si="30"/>
        <v>0</v>
      </c>
      <c r="R172" s="236">
        <f t="shared" si="31"/>
        <v>0</v>
      </c>
      <c r="S172" s="236"/>
      <c r="T172" s="236"/>
      <c r="U172" s="236">
        <f t="shared" si="32"/>
        <v>0</v>
      </c>
      <c r="V172" s="236"/>
      <c r="W172" s="232">
        <f t="shared" si="33"/>
        <v>0</v>
      </c>
      <c r="X172" s="236"/>
      <c r="Y172" s="236"/>
      <c r="Z172" s="236"/>
    </row>
    <row r="173" spans="1:26" hidden="1" outlineLevel="2">
      <c r="A173" s="19"/>
      <c r="B173" s="74"/>
      <c r="C173" s="207"/>
      <c r="D173" s="208"/>
      <c r="E173" s="133"/>
      <c r="F173" s="261"/>
      <c r="G173" s="138"/>
      <c r="H173" s="135"/>
      <c r="I173" s="206"/>
      <c r="J173" s="206"/>
      <c r="K173" s="206"/>
      <c r="L173" s="137"/>
      <c r="M173" s="163"/>
      <c r="N173" s="163"/>
      <c r="O173" s="288"/>
      <c r="P173" s="290"/>
      <c r="Q173" s="236">
        <f t="shared" si="30"/>
        <v>0</v>
      </c>
      <c r="R173" s="236">
        <f t="shared" si="31"/>
        <v>0</v>
      </c>
      <c r="S173" s="236"/>
      <c r="T173" s="236"/>
      <c r="U173" s="236">
        <f t="shared" si="32"/>
        <v>0</v>
      </c>
      <c r="V173" s="236"/>
      <c r="W173" s="232">
        <f t="shared" si="33"/>
        <v>0</v>
      </c>
      <c r="X173" s="236"/>
      <c r="Y173" s="236"/>
      <c r="Z173" s="236"/>
    </row>
    <row r="174" spans="1:26" hidden="1" outlineLevel="2">
      <c r="A174" s="160"/>
      <c r="B174" s="74"/>
      <c r="C174" s="207"/>
      <c r="D174" s="208"/>
      <c r="E174" s="133"/>
      <c r="F174" s="261"/>
      <c r="G174" s="138"/>
      <c r="H174" s="139"/>
      <c r="I174" s="206"/>
      <c r="J174" s="206"/>
      <c r="K174" s="206"/>
      <c r="L174" s="137"/>
      <c r="M174" s="74"/>
      <c r="N174" s="74"/>
      <c r="O174" s="19"/>
      <c r="P174" s="290"/>
      <c r="Q174" s="236">
        <f t="shared" si="30"/>
        <v>0</v>
      </c>
      <c r="R174" s="236">
        <f t="shared" si="31"/>
        <v>0</v>
      </c>
      <c r="S174" s="235"/>
      <c r="T174" s="235"/>
      <c r="U174" s="236">
        <f t="shared" si="32"/>
        <v>0</v>
      </c>
      <c r="V174" s="235"/>
      <c r="W174" s="232">
        <f t="shared" si="33"/>
        <v>0</v>
      </c>
      <c r="X174" s="235"/>
      <c r="Y174" s="235"/>
      <c r="Z174" s="235"/>
    </row>
    <row r="175" spans="1:26" hidden="1" outlineLevel="2">
      <c r="A175" s="164"/>
      <c r="B175" s="351"/>
      <c r="C175" s="227"/>
      <c r="D175" s="228"/>
      <c r="E175" s="165"/>
      <c r="F175" s="279"/>
      <c r="G175" s="166"/>
      <c r="H175" s="167"/>
      <c r="I175" s="229"/>
      <c r="J175" s="229"/>
      <c r="K175" s="229"/>
      <c r="L175" s="230"/>
      <c r="M175" s="351"/>
      <c r="N175" s="168"/>
      <c r="O175" s="168"/>
      <c r="P175" s="291"/>
      <c r="Q175" s="233"/>
      <c r="R175" s="233"/>
      <c r="S175" s="233"/>
      <c r="T175" s="233"/>
      <c r="U175" s="233"/>
      <c r="V175" s="233"/>
      <c r="W175" s="233"/>
      <c r="X175" s="233"/>
      <c r="Y175" s="233"/>
      <c r="Z175" s="233"/>
    </row>
    <row r="176" spans="1:26" s="75" customFormat="1" ht="24" outlineLevel="1" collapsed="1">
      <c r="A176" s="237"/>
      <c r="B176" s="238" t="s">
        <v>237</v>
      </c>
      <c r="C176" s="239" t="s">
        <v>47</v>
      </c>
      <c r="D176" s="240" t="s">
        <v>238</v>
      </c>
      <c r="E176" s="241"/>
      <c r="F176" s="264" t="s">
        <v>278</v>
      </c>
      <c r="G176" s="242"/>
      <c r="H176" s="243"/>
      <c r="I176" s="244" t="s">
        <v>48</v>
      </c>
      <c r="J176" s="244"/>
      <c r="K176" s="244"/>
      <c r="L176" s="150" t="str">
        <f>CONCATENATE(L177," ",N177,M177," ",L178," ",N178,M178," "," ",L179," ",N179,M179)</f>
        <v xml:space="preserve">Ручная расчистка 3,6Га.     </v>
      </c>
      <c r="M176" s="243"/>
      <c r="N176" s="243"/>
      <c r="O176" s="287">
        <f>SUM(O177:O179)</f>
        <v>0.75</v>
      </c>
      <c r="P176" s="289" t="s">
        <v>46</v>
      </c>
      <c r="Q176" s="246">
        <f t="shared" ref="Q176:Z176" si="34">SUM(Q177:Q179)</f>
        <v>0</v>
      </c>
      <c r="R176" s="246">
        <f t="shared" si="34"/>
        <v>0</v>
      </c>
      <c r="S176" s="246">
        <f t="shared" si="34"/>
        <v>0</v>
      </c>
      <c r="T176" s="246">
        <f t="shared" si="34"/>
        <v>0</v>
      </c>
      <c r="U176" s="246">
        <f t="shared" si="34"/>
        <v>0</v>
      </c>
      <c r="V176" s="246">
        <f t="shared" si="34"/>
        <v>0</v>
      </c>
      <c r="W176" s="246">
        <f t="shared" si="34"/>
        <v>0</v>
      </c>
      <c r="X176" s="246">
        <f t="shared" si="34"/>
        <v>0</v>
      </c>
      <c r="Y176" s="246">
        <f t="shared" si="34"/>
        <v>0</v>
      </c>
      <c r="Z176" s="246">
        <f t="shared" si="34"/>
        <v>0</v>
      </c>
    </row>
    <row r="177" spans="1:26" hidden="1" outlineLevel="2">
      <c r="A177" s="19"/>
      <c r="B177" s="74" t="s">
        <v>237</v>
      </c>
      <c r="C177" s="207" t="s">
        <v>47</v>
      </c>
      <c r="D177" s="208" t="s">
        <v>238</v>
      </c>
      <c r="E177" s="133"/>
      <c r="F177" s="262" t="s">
        <v>285</v>
      </c>
      <c r="G177" s="138"/>
      <c r="H177" s="135"/>
      <c r="I177" s="206" t="s">
        <v>48</v>
      </c>
      <c r="J177" s="206"/>
      <c r="K177" s="206"/>
      <c r="L177" s="137" t="s">
        <v>162</v>
      </c>
      <c r="M177" s="163" t="s">
        <v>44</v>
      </c>
      <c r="N177" s="163">
        <v>3.6</v>
      </c>
      <c r="O177" s="288">
        <f>ROUND(N177/100/0.048,3)</f>
        <v>0.75</v>
      </c>
      <c r="P177" s="290" t="s">
        <v>46</v>
      </c>
      <c r="Q177" s="236">
        <f>SUM(R177,U177)</f>
        <v>0</v>
      </c>
      <c r="R177" s="236">
        <f>SUM(S177:T177)</f>
        <v>0</v>
      </c>
      <c r="S177" s="236"/>
      <c r="T177" s="236"/>
      <c r="U177" s="236">
        <f>SUM(V177:Y177)</f>
        <v>0</v>
      </c>
      <c r="V177" s="236"/>
      <c r="W177" s="232">
        <f>V177*0.304</f>
        <v>0</v>
      </c>
      <c r="X177" s="236"/>
      <c r="Y177" s="236"/>
      <c r="Z177" s="236"/>
    </row>
    <row r="178" spans="1:26" hidden="1" outlineLevel="2">
      <c r="A178" s="19"/>
      <c r="B178" s="74"/>
      <c r="C178" s="207"/>
      <c r="D178" s="208"/>
      <c r="E178" s="133"/>
      <c r="F178" s="261"/>
      <c r="G178" s="138"/>
      <c r="H178" s="135"/>
      <c r="I178" s="206"/>
      <c r="J178" s="206"/>
      <c r="K178" s="206"/>
      <c r="L178" s="137"/>
      <c r="M178" s="163"/>
      <c r="N178" s="163"/>
      <c r="O178" s="288"/>
      <c r="P178" s="290"/>
      <c r="Q178" s="236">
        <f>SUM(R178,U178)</f>
        <v>0</v>
      </c>
      <c r="R178" s="236">
        <f>SUM(S178:T178)</f>
        <v>0</v>
      </c>
      <c r="S178" s="236"/>
      <c r="T178" s="236"/>
      <c r="U178" s="236">
        <f>SUM(V178:Y178)</f>
        <v>0</v>
      </c>
      <c r="V178" s="236"/>
      <c r="W178" s="232">
        <f>V178*0.304</f>
        <v>0</v>
      </c>
      <c r="X178" s="236"/>
      <c r="Y178" s="236"/>
      <c r="Z178" s="236"/>
    </row>
    <row r="179" spans="1:26" hidden="1" outlineLevel="2">
      <c r="A179" s="19"/>
      <c r="B179" s="74"/>
      <c r="C179" s="207"/>
      <c r="D179" s="208"/>
      <c r="E179" s="133"/>
      <c r="F179" s="261"/>
      <c r="G179" s="138"/>
      <c r="H179" s="135"/>
      <c r="I179" s="206"/>
      <c r="J179" s="206"/>
      <c r="K179" s="206"/>
      <c r="L179" s="137"/>
      <c r="M179" s="163"/>
      <c r="N179" s="163"/>
      <c r="O179" s="288"/>
      <c r="P179" s="290"/>
      <c r="Q179" s="236">
        <f>SUM(R179,U179)</f>
        <v>0</v>
      </c>
      <c r="R179" s="236">
        <f>SUM(S179:T179)</f>
        <v>0</v>
      </c>
      <c r="S179" s="236"/>
      <c r="T179" s="236"/>
      <c r="U179" s="236">
        <f>SUM(V179:Y179)</f>
        <v>0</v>
      </c>
      <c r="V179" s="236"/>
      <c r="W179" s="232">
        <f>V179*0.304</f>
        <v>0</v>
      </c>
      <c r="X179" s="236"/>
      <c r="Y179" s="236"/>
      <c r="Z179" s="236"/>
    </row>
    <row r="180" spans="1:26" hidden="1" outlineLevel="2">
      <c r="A180" s="164"/>
      <c r="B180" s="351"/>
      <c r="C180" s="227"/>
      <c r="D180" s="228"/>
      <c r="E180" s="165"/>
      <c r="F180" s="279"/>
      <c r="G180" s="166"/>
      <c r="H180" s="167"/>
      <c r="I180" s="229"/>
      <c r="J180" s="229"/>
      <c r="K180" s="229"/>
      <c r="L180" s="230"/>
      <c r="M180" s="351"/>
      <c r="N180" s="168"/>
      <c r="O180" s="168"/>
      <c r="P180" s="291"/>
      <c r="Q180" s="233"/>
      <c r="R180" s="233"/>
      <c r="S180" s="233"/>
      <c r="T180" s="233"/>
      <c r="U180" s="233"/>
      <c r="V180" s="233"/>
      <c r="W180" s="233"/>
      <c r="X180" s="233"/>
      <c r="Y180" s="233"/>
      <c r="Z180" s="233"/>
    </row>
    <row r="181" spans="1:26" s="75" customFormat="1" ht="75" outlineLevel="1" collapsed="1">
      <c r="A181" s="237"/>
      <c r="B181" s="238" t="s">
        <v>237</v>
      </c>
      <c r="C181" s="239" t="s">
        <v>47</v>
      </c>
      <c r="D181" s="240" t="s">
        <v>238</v>
      </c>
      <c r="E181" s="241"/>
      <c r="F181" s="264" t="s">
        <v>279</v>
      </c>
      <c r="G181" s="242"/>
      <c r="H181" s="243"/>
      <c r="I181" s="244" t="s">
        <v>48</v>
      </c>
      <c r="J181" s="244"/>
      <c r="K181" s="244"/>
      <c r="L181" s="150" t="str">
        <f>CONCATENATE(L182," ",N182,M182," ",L183," ",N183,M183," "," ",L184," ",N184,M184," ",L185," ",N185,M185," ",L186," ",N186,M186," ",L187," ",N187,M187," ",L188," ",N188,M188," ",L189," ",N189,M189)</f>
        <v xml:space="preserve">Бурение скважин, установка приставок 28шт. Монтаж опор 8шт.  Демонтаж опор 7шт. Замена фарфоровых /стеклянных/ изоляторов на полимерные 18шт. Монтаж грозотроса 0,85км. Восстановление фундаментов опор 1шт.    </v>
      </c>
      <c r="M181" s="243"/>
      <c r="N181" s="243"/>
      <c r="O181" s="287">
        <f>SUM(O182:O189)</f>
        <v>3.496</v>
      </c>
      <c r="P181" s="289" t="s">
        <v>45</v>
      </c>
      <c r="Q181" s="246">
        <f>SUM(Q182:Q189)</f>
        <v>0</v>
      </c>
      <c r="R181" s="246">
        <f t="shared" ref="R181:Y181" si="35">SUM(R182:R189)</f>
        <v>0</v>
      </c>
      <c r="S181" s="246">
        <f t="shared" si="35"/>
        <v>0</v>
      </c>
      <c r="T181" s="246">
        <f t="shared" si="35"/>
        <v>0</v>
      </c>
      <c r="U181" s="246">
        <f t="shared" si="35"/>
        <v>0</v>
      </c>
      <c r="V181" s="246">
        <f t="shared" si="35"/>
        <v>0</v>
      </c>
      <c r="W181" s="246">
        <f t="shared" si="35"/>
        <v>0</v>
      </c>
      <c r="X181" s="246">
        <f t="shared" si="35"/>
        <v>0</v>
      </c>
      <c r="Y181" s="246">
        <f t="shared" si="35"/>
        <v>0</v>
      </c>
      <c r="Z181" s="246">
        <f>SUM(Z182:Z189)</f>
        <v>0</v>
      </c>
    </row>
    <row r="182" spans="1:26" ht="45" hidden="1" outlineLevel="2">
      <c r="A182" s="19"/>
      <c r="B182" s="74" t="s">
        <v>237</v>
      </c>
      <c r="C182" s="207" t="s">
        <v>47</v>
      </c>
      <c r="D182" s="208" t="s">
        <v>238</v>
      </c>
      <c r="E182" s="133"/>
      <c r="F182" s="262" t="s">
        <v>280</v>
      </c>
      <c r="G182" s="138"/>
      <c r="H182" s="135"/>
      <c r="I182" s="206" t="s">
        <v>48</v>
      </c>
      <c r="J182" s="206"/>
      <c r="K182" s="206"/>
      <c r="L182" s="137" t="s">
        <v>241</v>
      </c>
      <c r="M182" s="163" t="s">
        <v>37</v>
      </c>
      <c r="N182" s="163">
        <v>28</v>
      </c>
      <c r="O182" s="288"/>
      <c r="P182" s="290" t="s">
        <v>38</v>
      </c>
      <c r="Q182" s="236">
        <f>SUM(R182,U182)</f>
        <v>0</v>
      </c>
      <c r="R182" s="236">
        <f>SUM(S182:T182)</f>
        <v>0</v>
      </c>
      <c r="S182" s="236"/>
      <c r="T182" s="236"/>
      <c r="U182" s="236">
        <f>SUM(V182:Y182)</f>
        <v>0</v>
      </c>
      <c r="V182" s="236"/>
      <c r="W182" s="232">
        <f>V182*0.304</f>
        <v>0</v>
      </c>
      <c r="X182" s="236"/>
      <c r="Y182" s="236"/>
      <c r="Z182" s="236"/>
    </row>
    <row r="183" spans="1:26" ht="17.25" hidden="1" customHeight="1" outlineLevel="2">
      <c r="A183" s="623"/>
      <c r="B183" s="625" t="s">
        <v>237</v>
      </c>
      <c r="C183" s="627" t="s">
        <v>47</v>
      </c>
      <c r="D183" s="629" t="s">
        <v>238</v>
      </c>
      <c r="E183" s="631"/>
      <c r="F183" s="613" t="s">
        <v>281</v>
      </c>
      <c r="G183" s="615"/>
      <c r="H183" s="617"/>
      <c r="I183" s="619" t="s">
        <v>48</v>
      </c>
      <c r="J183" s="619"/>
      <c r="K183" s="619"/>
      <c r="L183" s="137" t="s">
        <v>113</v>
      </c>
      <c r="M183" s="163" t="s">
        <v>37</v>
      </c>
      <c r="N183" s="163">
        <v>8</v>
      </c>
      <c r="O183" s="635">
        <f>N183*0.189</f>
        <v>1.512</v>
      </c>
      <c r="P183" s="637" t="s">
        <v>38</v>
      </c>
      <c r="Q183" s="633">
        <f t="shared" ref="Q183:Q189" si="36">SUM(R183,U183)</f>
        <v>0</v>
      </c>
      <c r="R183" s="633">
        <f t="shared" ref="R183:R188" si="37">SUM(S183:T183)</f>
        <v>0</v>
      </c>
      <c r="S183" s="633"/>
      <c r="T183" s="633"/>
      <c r="U183" s="633">
        <f t="shared" ref="U183:U189" si="38">SUM(V183:Y183)</f>
        <v>0</v>
      </c>
      <c r="V183" s="633"/>
      <c r="W183" s="633">
        <f t="shared" ref="W183:W189" si="39">V183*0.304</f>
        <v>0</v>
      </c>
      <c r="X183" s="633"/>
      <c r="Y183" s="633"/>
      <c r="Z183" s="633"/>
    </row>
    <row r="184" spans="1:26" hidden="1" outlineLevel="2">
      <c r="A184" s="624"/>
      <c r="B184" s="626"/>
      <c r="C184" s="628"/>
      <c r="D184" s="630"/>
      <c r="E184" s="632"/>
      <c r="F184" s="614"/>
      <c r="G184" s="616"/>
      <c r="H184" s="618"/>
      <c r="I184" s="620"/>
      <c r="J184" s="620"/>
      <c r="K184" s="620"/>
      <c r="L184" s="137" t="s">
        <v>112</v>
      </c>
      <c r="M184" s="74" t="s">
        <v>37</v>
      </c>
      <c r="N184" s="74">
        <v>7</v>
      </c>
      <c r="O184" s="636"/>
      <c r="P184" s="638"/>
      <c r="Q184" s="634">
        <f t="shared" si="36"/>
        <v>0</v>
      </c>
      <c r="R184" s="634">
        <f t="shared" si="37"/>
        <v>0</v>
      </c>
      <c r="S184" s="634"/>
      <c r="T184" s="634"/>
      <c r="U184" s="634">
        <f t="shared" si="38"/>
        <v>0</v>
      </c>
      <c r="V184" s="634"/>
      <c r="W184" s="634">
        <f t="shared" si="39"/>
        <v>0</v>
      </c>
      <c r="X184" s="634"/>
      <c r="Y184" s="634"/>
      <c r="Z184" s="634"/>
    </row>
    <row r="185" spans="1:26" hidden="1" outlineLevel="2">
      <c r="A185" s="19"/>
      <c r="B185" s="74" t="s">
        <v>237</v>
      </c>
      <c r="C185" s="207" t="s">
        <v>47</v>
      </c>
      <c r="D185" s="208" t="s">
        <v>238</v>
      </c>
      <c r="E185" s="133"/>
      <c r="F185" s="262" t="s">
        <v>282</v>
      </c>
      <c r="G185" s="138"/>
      <c r="H185" s="135"/>
      <c r="I185" s="206" t="s">
        <v>48</v>
      </c>
      <c r="J185" s="206"/>
      <c r="K185" s="206"/>
      <c r="L185" s="137" t="s">
        <v>179</v>
      </c>
      <c r="M185" s="163" t="s">
        <v>37</v>
      </c>
      <c r="N185" s="163">
        <v>18</v>
      </c>
      <c r="O185" s="288">
        <f>N185/3*0.189</f>
        <v>1.1339999999999999</v>
      </c>
      <c r="P185" s="290" t="s">
        <v>38</v>
      </c>
      <c r="Q185" s="236">
        <f t="shared" si="36"/>
        <v>0</v>
      </c>
      <c r="R185" s="236">
        <f t="shared" si="37"/>
        <v>0</v>
      </c>
      <c r="S185" s="236"/>
      <c r="T185" s="236"/>
      <c r="U185" s="236">
        <f t="shared" si="38"/>
        <v>0</v>
      </c>
      <c r="V185" s="236"/>
      <c r="W185" s="232">
        <f t="shared" si="39"/>
        <v>0</v>
      </c>
      <c r="X185" s="236"/>
      <c r="Y185" s="236"/>
      <c r="Z185" s="236"/>
    </row>
    <row r="186" spans="1:26" hidden="1" outlineLevel="2">
      <c r="A186" s="19"/>
      <c r="B186" s="74" t="s">
        <v>237</v>
      </c>
      <c r="C186" s="207" t="s">
        <v>47</v>
      </c>
      <c r="D186" s="208" t="s">
        <v>238</v>
      </c>
      <c r="E186" s="133"/>
      <c r="F186" s="262" t="s">
        <v>283</v>
      </c>
      <c r="G186" s="138"/>
      <c r="H186" s="135"/>
      <c r="I186" s="206" t="s">
        <v>48</v>
      </c>
      <c r="J186" s="206"/>
      <c r="K186" s="206"/>
      <c r="L186" s="137" t="s">
        <v>185</v>
      </c>
      <c r="M186" s="163" t="s">
        <v>43</v>
      </c>
      <c r="N186" s="163">
        <v>0.85</v>
      </c>
      <c r="O186" s="288">
        <f>N186</f>
        <v>0.85</v>
      </c>
      <c r="P186" s="290" t="s">
        <v>46</v>
      </c>
      <c r="Q186" s="236">
        <f t="shared" si="36"/>
        <v>0</v>
      </c>
      <c r="R186" s="236">
        <f t="shared" si="37"/>
        <v>0</v>
      </c>
      <c r="S186" s="236"/>
      <c r="T186" s="236"/>
      <c r="U186" s="236">
        <f t="shared" si="38"/>
        <v>0</v>
      </c>
      <c r="V186" s="236"/>
      <c r="W186" s="232">
        <f t="shared" si="39"/>
        <v>0</v>
      </c>
      <c r="X186" s="236"/>
      <c r="Y186" s="236"/>
      <c r="Z186" s="236"/>
    </row>
    <row r="187" spans="1:26" hidden="1" outlineLevel="2">
      <c r="A187" s="160"/>
      <c r="B187" s="74" t="s">
        <v>237</v>
      </c>
      <c r="C187" s="207" t="s">
        <v>47</v>
      </c>
      <c r="D187" s="208" t="s">
        <v>238</v>
      </c>
      <c r="E187" s="133"/>
      <c r="F187" s="262" t="s">
        <v>284</v>
      </c>
      <c r="G187" s="138"/>
      <c r="H187" s="139"/>
      <c r="I187" s="206" t="s">
        <v>48</v>
      </c>
      <c r="J187" s="206"/>
      <c r="K187" s="206"/>
      <c r="L187" s="137" t="s">
        <v>246</v>
      </c>
      <c r="M187" s="74" t="s">
        <v>37</v>
      </c>
      <c r="N187" s="74">
        <v>1</v>
      </c>
      <c r="O187" s="19"/>
      <c r="P187" s="290" t="s">
        <v>46</v>
      </c>
      <c r="Q187" s="236">
        <f t="shared" si="36"/>
        <v>0</v>
      </c>
      <c r="R187" s="236">
        <f t="shared" si="37"/>
        <v>0</v>
      </c>
      <c r="S187" s="235"/>
      <c r="T187" s="235"/>
      <c r="U187" s="236">
        <f t="shared" si="38"/>
        <v>0</v>
      </c>
      <c r="V187" s="235"/>
      <c r="W187" s="232">
        <f t="shared" si="39"/>
        <v>0</v>
      </c>
      <c r="X187" s="235"/>
      <c r="Y187" s="235"/>
      <c r="Z187" s="235"/>
    </row>
    <row r="188" spans="1:26" hidden="1" outlineLevel="2">
      <c r="A188" s="160"/>
      <c r="B188" s="74"/>
      <c r="C188" s="207"/>
      <c r="D188" s="208"/>
      <c r="E188" s="133"/>
      <c r="F188" s="261"/>
      <c r="G188" s="138"/>
      <c r="H188" s="139"/>
      <c r="I188" s="206"/>
      <c r="J188" s="206"/>
      <c r="K188" s="206"/>
      <c r="L188" s="137"/>
      <c r="M188" s="74"/>
      <c r="N188" s="19"/>
      <c r="O188" s="19"/>
      <c r="P188" s="290"/>
      <c r="Q188" s="236">
        <f t="shared" si="36"/>
        <v>0</v>
      </c>
      <c r="R188" s="236">
        <f t="shared" si="37"/>
        <v>0</v>
      </c>
      <c r="S188" s="235"/>
      <c r="T188" s="235"/>
      <c r="U188" s="236">
        <f t="shared" si="38"/>
        <v>0</v>
      </c>
      <c r="V188" s="235"/>
      <c r="W188" s="232">
        <f t="shared" si="39"/>
        <v>0</v>
      </c>
      <c r="X188" s="235"/>
      <c r="Y188" s="235"/>
      <c r="Z188" s="235"/>
    </row>
    <row r="189" spans="1:26" hidden="1" outlineLevel="2">
      <c r="A189" s="160"/>
      <c r="B189" s="74"/>
      <c r="C189" s="207"/>
      <c r="D189" s="208"/>
      <c r="E189" s="133"/>
      <c r="F189" s="261"/>
      <c r="G189" s="138"/>
      <c r="H189" s="139"/>
      <c r="I189" s="206"/>
      <c r="J189" s="206"/>
      <c r="K189" s="206"/>
      <c r="L189" s="137"/>
      <c r="M189" s="74"/>
      <c r="N189" s="19"/>
      <c r="O189" s="19"/>
      <c r="P189" s="290"/>
      <c r="Q189" s="236">
        <f t="shared" si="36"/>
        <v>0</v>
      </c>
      <c r="R189" s="236">
        <f>SUM(S189:T189)</f>
        <v>0</v>
      </c>
      <c r="S189" s="235"/>
      <c r="T189" s="235"/>
      <c r="U189" s="236">
        <f t="shared" si="38"/>
        <v>0</v>
      </c>
      <c r="V189" s="235"/>
      <c r="W189" s="232">
        <f t="shared" si="39"/>
        <v>0</v>
      </c>
      <c r="X189" s="235"/>
      <c r="Y189" s="235"/>
      <c r="Z189" s="235"/>
    </row>
    <row r="190" spans="1:26" hidden="1" outlineLevel="2">
      <c r="A190" s="164"/>
      <c r="B190" s="351"/>
      <c r="C190" s="227"/>
      <c r="D190" s="228"/>
      <c r="E190" s="165"/>
      <c r="F190" s="279"/>
      <c r="G190" s="166"/>
      <c r="H190" s="167"/>
      <c r="I190" s="229"/>
      <c r="J190" s="229"/>
      <c r="K190" s="229"/>
      <c r="L190" s="230"/>
      <c r="M190" s="351"/>
      <c r="N190" s="168"/>
      <c r="O190" s="168"/>
      <c r="P190" s="291"/>
      <c r="Q190" s="233"/>
      <c r="R190" s="233"/>
      <c r="S190" s="233"/>
      <c r="T190" s="233"/>
      <c r="U190" s="233"/>
      <c r="V190" s="233"/>
      <c r="W190" s="233"/>
      <c r="X190" s="233"/>
      <c r="Y190" s="233"/>
      <c r="Z190" s="233"/>
    </row>
    <row r="191" spans="1:26" s="75" customFormat="1" ht="90.75" customHeight="1" outlineLevel="1" collapsed="1">
      <c r="A191" s="237"/>
      <c r="B191" s="238" t="s">
        <v>237</v>
      </c>
      <c r="C191" s="239" t="s">
        <v>47</v>
      </c>
      <c r="D191" s="240" t="s">
        <v>238</v>
      </c>
      <c r="E191" s="241"/>
      <c r="F191" s="286" t="s">
        <v>286</v>
      </c>
      <c r="G191" s="242"/>
      <c r="H191" s="243"/>
      <c r="I191" s="244" t="s">
        <v>48</v>
      </c>
      <c r="J191" s="244"/>
      <c r="K191" s="244"/>
      <c r="L191" s="150" t="str">
        <f>CONCATENATE(L192," ",N192,M192," ",L193," ",N193,M193," "," ",L194," ",N194,M194," ",L195," ",N195,M195)</f>
        <v xml:space="preserve">Ручная расчистка 3,31Га.       </v>
      </c>
      <c r="M191" s="243"/>
      <c r="N191" s="243"/>
      <c r="O191" s="287">
        <f>SUM(O192:O195)</f>
        <v>0.69</v>
      </c>
      <c r="P191" s="289" t="s">
        <v>46</v>
      </c>
      <c r="Q191" s="246">
        <f t="shared" ref="Q191:Z191" si="40">SUM(Q192:Q195)</f>
        <v>0</v>
      </c>
      <c r="R191" s="246">
        <f t="shared" si="40"/>
        <v>0</v>
      </c>
      <c r="S191" s="246">
        <f t="shared" si="40"/>
        <v>0</v>
      </c>
      <c r="T191" s="246">
        <f t="shared" si="40"/>
        <v>0</v>
      </c>
      <c r="U191" s="246">
        <f t="shared" si="40"/>
        <v>0</v>
      </c>
      <c r="V191" s="246">
        <f t="shared" si="40"/>
        <v>0</v>
      </c>
      <c r="W191" s="246">
        <f t="shared" si="40"/>
        <v>0</v>
      </c>
      <c r="X191" s="246">
        <f t="shared" si="40"/>
        <v>0</v>
      </c>
      <c r="Y191" s="246">
        <f t="shared" si="40"/>
        <v>0</v>
      </c>
      <c r="Z191" s="246">
        <f t="shared" si="40"/>
        <v>0</v>
      </c>
    </row>
    <row r="192" spans="1:26" ht="25.5" hidden="1" outlineLevel="2">
      <c r="A192" s="19"/>
      <c r="B192" s="74" t="s">
        <v>237</v>
      </c>
      <c r="C192" s="207" t="s">
        <v>47</v>
      </c>
      <c r="D192" s="208" t="s">
        <v>238</v>
      </c>
      <c r="E192" s="133"/>
      <c r="F192" s="261" t="s">
        <v>287</v>
      </c>
      <c r="G192" s="138"/>
      <c r="H192" s="135"/>
      <c r="I192" s="206" t="s">
        <v>48</v>
      </c>
      <c r="J192" s="206"/>
      <c r="K192" s="206"/>
      <c r="L192" s="137" t="s">
        <v>162</v>
      </c>
      <c r="M192" s="163" t="s">
        <v>44</v>
      </c>
      <c r="N192" s="163">
        <v>3.31</v>
      </c>
      <c r="O192" s="288">
        <f>ROUND(N192/100/0.048,3)</f>
        <v>0.69</v>
      </c>
      <c r="P192" s="290" t="s">
        <v>46</v>
      </c>
      <c r="Q192" s="236">
        <f>SUM(R192,U192)</f>
        <v>0</v>
      </c>
      <c r="R192" s="236">
        <f>SUM(S192:T192)</f>
        <v>0</v>
      </c>
      <c r="S192" s="236"/>
      <c r="T192" s="236"/>
      <c r="U192" s="236">
        <f>SUM(V192:Y192)</f>
        <v>0</v>
      </c>
      <c r="V192" s="236"/>
      <c r="W192" s="232">
        <f>V192*0.304</f>
        <v>0</v>
      </c>
      <c r="X192" s="236"/>
      <c r="Y192" s="236"/>
      <c r="Z192" s="236"/>
    </row>
    <row r="193" spans="1:26" hidden="1" outlineLevel="2">
      <c r="A193" s="19"/>
      <c r="B193" s="74"/>
      <c r="C193" s="207"/>
      <c r="D193" s="208"/>
      <c r="E193" s="133"/>
      <c r="F193" s="261"/>
      <c r="G193" s="138"/>
      <c r="H193" s="135"/>
      <c r="I193" s="206"/>
      <c r="J193" s="206"/>
      <c r="K193" s="206"/>
      <c r="L193" s="137"/>
      <c r="M193" s="163"/>
      <c r="N193" s="163"/>
      <c r="O193" s="288"/>
      <c r="P193" s="290"/>
      <c r="Q193" s="236">
        <f>SUM(R193,U193)</f>
        <v>0</v>
      </c>
      <c r="R193" s="236">
        <f>SUM(S193:T193)</f>
        <v>0</v>
      </c>
      <c r="S193" s="236"/>
      <c r="T193" s="236"/>
      <c r="U193" s="236">
        <f>SUM(V193:Y193)</f>
        <v>0</v>
      </c>
      <c r="V193" s="236"/>
      <c r="W193" s="232">
        <f>V193*0.304</f>
        <v>0</v>
      </c>
      <c r="X193" s="236"/>
      <c r="Y193" s="236"/>
      <c r="Z193" s="236"/>
    </row>
    <row r="194" spans="1:26" hidden="1" outlineLevel="2">
      <c r="A194" s="19"/>
      <c r="B194" s="74"/>
      <c r="C194" s="207"/>
      <c r="D194" s="208"/>
      <c r="E194" s="133"/>
      <c r="F194" s="261"/>
      <c r="G194" s="138"/>
      <c r="H194" s="135"/>
      <c r="I194" s="206"/>
      <c r="J194" s="206"/>
      <c r="K194" s="206"/>
      <c r="L194" s="137"/>
      <c r="M194" s="163"/>
      <c r="N194" s="163"/>
      <c r="O194" s="288"/>
      <c r="P194" s="290"/>
      <c r="Q194" s="236">
        <f>SUM(R194,U194)</f>
        <v>0</v>
      </c>
      <c r="R194" s="236">
        <f>SUM(S194:T194)</f>
        <v>0</v>
      </c>
      <c r="S194" s="236"/>
      <c r="T194" s="236"/>
      <c r="U194" s="236">
        <f>SUM(V194:Y194)</f>
        <v>0</v>
      </c>
      <c r="V194" s="236"/>
      <c r="W194" s="232">
        <f>V194*0.304</f>
        <v>0</v>
      </c>
      <c r="X194" s="236"/>
      <c r="Y194" s="236"/>
      <c r="Z194" s="236"/>
    </row>
    <row r="195" spans="1:26" hidden="1" outlineLevel="2">
      <c r="A195" s="19"/>
      <c r="B195" s="74"/>
      <c r="C195" s="207"/>
      <c r="D195" s="208"/>
      <c r="E195" s="133"/>
      <c r="F195" s="261"/>
      <c r="G195" s="138"/>
      <c r="H195" s="135"/>
      <c r="I195" s="206"/>
      <c r="J195" s="206"/>
      <c r="K195" s="206"/>
      <c r="L195" s="137"/>
      <c r="M195" s="163"/>
      <c r="N195" s="163"/>
      <c r="O195" s="288"/>
      <c r="P195" s="290"/>
      <c r="Q195" s="236">
        <f>SUM(R195,U195)</f>
        <v>0</v>
      </c>
      <c r="R195" s="236">
        <f>SUM(S195:T195)</f>
        <v>0</v>
      </c>
      <c r="S195" s="236"/>
      <c r="T195" s="236"/>
      <c r="U195" s="236">
        <f>SUM(V195:Y195)</f>
        <v>0</v>
      </c>
      <c r="V195" s="236"/>
      <c r="W195" s="232">
        <f>V195*0.304</f>
        <v>0</v>
      </c>
      <c r="X195" s="236"/>
      <c r="Y195" s="236"/>
      <c r="Z195" s="236"/>
    </row>
    <row r="196" spans="1:26" hidden="1" outlineLevel="2">
      <c r="A196" s="164"/>
      <c r="B196" s="351"/>
      <c r="C196" s="227"/>
      <c r="D196" s="228"/>
      <c r="E196" s="165"/>
      <c r="F196" s="279"/>
      <c r="G196" s="166"/>
      <c r="H196" s="167"/>
      <c r="I196" s="229"/>
      <c r="J196" s="229"/>
      <c r="K196" s="229"/>
      <c r="L196" s="230"/>
      <c r="M196" s="351"/>
      <c r="N196" s="168"/>
      <c r="O196" s="168"/>
      <c r="P196" s="291"/>
      <c r="Q196" s="233"/>
      <c r="R196" s="233"/>
      <c r="S196" s="233"/>
      <c r="T196" s="233"/>
      <c r="U196" s="233"/>
      <c r="V196" s="233"/>
      <c r="W196" s="233"/>
      <c r="X196" s="233"/>
      <c r="Y196" s="233"/>
      <c r="Z196" s="233"/>
    </row>
    <row r="197" spans="1:26" s="75" customFormat="1" outlineLevel="1" collapsed="1">
      <c r="A197" s="237"/>
      <c r="B197" s="238"/>
      <c r="C197" s="239"/>
      <c r="D197" s="240"/>
      <c r="E197" s="241"/>
      <c r="F197" s="264"/>
      <c r="G197" s="242"/>
      <c r="H197" s="243"/>
      <c r="I197" s="244"/>
      <c r="J197" s="244"/>
      <c r="K197" s="244"/>
      <c r="L197" s="150" t="str">
        <f>CONCATENATE(L198," ",N198,M198," ",L199," ",N199,M199," "," ",L200," ",N200,M200," ",L201," ",N201,M201," ",L202," ",N202,M202," ",L203," ",N203,M203," ",L204," ",N204,M204," ",L205," ",N205,M205)</f>
        <v xml:space="preserve">                </v>
      </c>
      <c r="M197" s="243"/>
      <c r="N197" s="243"/>
      <c r="O197" s="287">
        <f>SUM(O198:O205)</f>
        <v>0</v>
      </c>
      <c r="P197" s="289"/>
      <c r="Q197" s="246">
        <f>SUM(Q198:Q205)</f>
        <v>0</v>
      </c>
      <c r="R197" s="246">
        <f t="shared" ref="R197:Y197" si="41">SUM(R198:R205)</f>
        <v>0</v>
      </c>
      <c r="S197" s="246">
        <f t="shared" si="41"/>
        <v>0</v>
      </c>
      <c r="T197" s="246">
        <f t="shared" si="41"/>
        <v>0</v>
      </c>
      <c r="U197" s="246">
        <f t="shared" si="41"/>
        <v>0</v>
      </c>
      <c r="V197" s="246">
        <f t="shared" si="41"/>
        <v>0</v>
      </c>
      <c r="W197" s="246">
        <f t="shared" si="41"/>
        <v>0</v>
      </c>
      <c r="X197" s="246">
        <f t="shared" si="41"/>
        <v>0</v>
      </c>
      <c r="Y197" s="246">
        <f t="shared" si="41"/>
        <v>0</v>
      </c>
      <c r="Z197" s="246">
        <f>SUM(Z198:Z205)</f>
        <v>0</v>
      </c>
    </row>
    <row r="198" spans="1:26" hidden="1" outlineLevel="2">
      <c r="A198" s="19"/>
      <c r="B198" s="74"/>
      <c r="C198" s="207"/>
      <c r="D198" s="208"/>
      <c r="E198" s="133"/>
      <c r="F198" s="261"/>
      <c r="G198" s="138"/>
      <c r="H198" s="135"/>
      <c r="I198" s="206"/>
      <c r="J198" s="206"/>
      <c r="K198" s="206"/>
      <c r="L198" s="137"/>
      <c r="M198" s="163"/>
      <c r="N198" s="163"/>
      <c r="O198" s="288"/>
      <c r="P198" s="290"/>
      <c r="Q198" s="236">
        <f>SUM(R198,U198)</f>
        <v>0</v>
      </c>
      <c r="R198" s="236">
        <f>SUM(S198:T198)</f>
        <v>0</v>
      </c>
      <c r="S198" s="236"/>
      <c r="T198" s="236"/>
      <c r="U198" s="236">
        <f>SUM(V198:Y198)</f>
        <v>0</v>
      </c>
      <c r="V198" s="236"/>
      <c r="W198" s="232">
        <f>V198*0.304</f>
        <v>0</v>
      </c>
      <c r="X198" s="236"/>
      <c r="Y198" s="236"/>
      <c r="Z198" s="236"/>
    </row>
    <row r="199" spans="1:26" hidden="1" outlineLevel="2">
      <c r="A199" s="19"/>
      <c r="B199" s="74"/>
      <c r="C199" s="207"/>
      <c r="D199" s="208"/>
      <c r="E199" s="133"/>
      <c r="F199" s="261"/>
      <c r="G199" s="138"/>
      <c r="H199" s="135"/>
      <c r="I199" s="206"/>
      <c r="J199" s="206"/>
      <c r="K199" s="206"/>
      <c r="L199" s="137"/>
      <c r="M199" s="163"/>
      <c r="N199" s="163"/>
      <c r="O199" s="288"/>
      <c r="P199" s="290"/>
      <c r="Q199" s="236">
        <f t="shared" ref="Q199:Q205" si="42">SUM(R199,U199)</f>
        <v>0</v>
      </c>
      <c r="R199" s="236">
        <f t="shared" ref="R199:R204" si="43">SUM(S199:T199)</f>
        <v>0</v>
      </c>
      <c r="S199" s="236"/>
      <c r="T199" s="236"/>
      <c r="U199" s="236">
        <f t="shared" ref="U199:U205" si="44">SUM(V199:Y199)</f>
        <v>0</v>
      </c>
      <c r="V199" s="236"/>
      <c r="W199" s="232">
        <f t="shared" ref="W199:W205" si="45">V199*0.304</f>
        <v>0</v>
      </c>
      <c r="X199" s="236"/>
      <c r="Y199" s="236"/>
      <c r="Z199" s="236"/>
    </row>
    <row r="200" spans="1:26" hidden="1" outlineLevel="2">
      <c r="A200" s="19"/>
      <c r="B200" s="74"/>
      <c r="C200" s="207"/>
      <c r="D200" s="208"/>
      <c r="E200" s="133"/>
      <c r="F200" s="261"/>
      <c r="G200" s="138"/>
      <c r="H200" s="135"/>
      <c r="I200" s="206"/>
      <c r="J200" s="206"/>
      <c r="K200" s="206"/>
      <c r="L200" s="137"/>
      <c r="M200" s="163"/>
      <c r="N200" s="163"/>
      <c r="O200" s="288"/>
      <c r="P200" s="290"/>
      <c r="Q200" s="236">
        <f t="shared" si="42"/>
        <v>0</v>
      </c>
      <c r="R200" s="236">
        <f t="shared" si="43"/>
        <v>0</v>
      </c>
      <c r="S200" s="236"/>
      <c r="T200" s="236"/>
      <c r="U200" s="236">
        <f t="shared" si="44"/>
        <v>0</v>
      </c>
      <c r="V200" s="236"/>
      <c r="W200" s="232">
        <f t="shared" si="45"/>
        <v>0</v>
      </c>
      <c r="X200" s="236"/>
      <c r="Y200" s="236"/>
      <c r="Z200" s="236"/>
    </row>
    <row r="201" spans="1:26" hidden="1" outlineLevel="2">
      <c r="A201" s="19"/>
      <c r="B201" s="74"/>
      <c r="C201" s="207"/>
      <c r="D201" s="208"/>
      <c r="E201" s="133"/>
      <c r="F201" s="261"/>
      <c r="G201" s="138"/>
      <c r="H201" s="135"/>
      <c r="I201" s="206"/>
      <c r="J201" s="206"/>
      <c r="K201" s="206"/>
      <c r="L201" s="137"/>
      <c r="M201" s="163"/>
      <c r="N201" s="163"/>
      <c r="O201" s="288"/>
      <c r="P201" s="290"/>
      <c r="Q201" s="236">
        <f t="shared" si="42"/>
        <v>0</v>
      </c>
      <c r="R201" s="236">
        <f t="shared" si="43"/>
        <v>0</v>
      </c>
      <c r="S201" s="236"/>
      <c r="T201" s="236"/>
      <c r="U201" s="236">
        <f t="shared" si="44"/>
        <v>0</v>
      </c>
      <c r="V201" s="236"/>
      <c r="W201" s="232">
        <f t="shared" si="45"/>
        <v>0</v>
      </c>
      <c r="X201" s="236"/>
      <c r="Y201" s="236"/>
      <c r="Z201" s="236"/>
    </row>
    <row r="202" spans="1:26" hidden="1" outlineLevel="2">
      <c r="A202" s="19"/>
      <c r="B202" s="74"/>
      <c r="C202" s="207"/>
      <c r="D202" s="208"/>
      <c r="E202" s="133"/>
      <c r="F202" s="261"/>
      <c r="G202" s="138"/>
      <c r="H202" s="135"/>
      <c r="I202" s="206"/>
      <c r="J202" s="206"/>
      <c r="K202" s="206"/>
      <c r="L202" s="137"/>
      <c r="M202" s="163"/>
      <c r="N202" s="163"/>
      <c r="O202" s="288"/>
      <c r="P202" s="290"/>
      <c r="Q202" s="236">
        <f t="shared" si="42"/>
        <v>0</v>
      </c>
      <c r="R202" s="236">
        <f t="shared" si="43"/>
        <v>0</v>
      </c>
      <c r="S202" s="236"/>
      <c r="T202" s="236"/>
      <c r="U202" s="236">
        <f t="shared" si="44"/>
        <v>0</v>
      </c>
      <c r="V202" s="236"/>
      <c r="W202" s="232">
        <f t="shared" si="45"/>
        <v>0</v>
      </c>
      <c r="X202" s="236"/>
      <c r="Y202" s="236"/>
      <c r="Z202" s="236"/>
    </row>
    <row r="203" spans="1:26" hidden="1" outlineLevel="2">
      <c r="A203" s="160"/>
      <c r="B203" s="74"/>
      <c r="C203" s="207"/>
      <c r="D203" s="208"/>
      <c r="E203" s="133"/>
      <c r="F203" s="261"/>
      <c r="G203" s="138"/>
      <c r="H203" s="139"/>
      <c r="I203" s="206"/>
      <c r="J203" s="206"/>
      <c r="K203" s="206"/>
      <c r="L203" s="137"/>
      <c r="M203" s="74"/>
      <c r="N203" s="74"/>
      <c r="O203" s="19"/>
      <c r="P203" s="290"/>
      <c r="Q203" s="236">
        <f t="shared" si="42"/>
        <v>0</v>
      </c>
      <c r="R203" s="236">
        <f t="shared" si="43"/>
        <v>0</v>
      </c>
      <c r="S203" s="235"/>
      <c r="T203" s="235"/>
      <c r="U203" s="236">
        <f t="shared" si="44"/>
        <v>0</v>
      </c>
      <c r="V203" s="235"/>
      <c r="W203" s="232">
        <f t="shared" si="45"/>
        <v>0</v>
      </c>
      <c r="X203" s="235"/>
      <c r="Y203" s="235"/>
      <c r="Z203" s="235"/>
    </row>
    <row r="204" spans="1:26" hidden="1" outlineLevel="2">
      <c r="A204" s="160"/>
      <c r="B204" s="74"/>
      <c r="C204" s="207"/>
      <c r="D204" s="208"/>
      <c r="E204" s="133"/>
      <c r="F204" s="261"/>
      <c r="G204" s="138"/>
      <c r="H204" s="139"/>
      <c r="I204" s="206"/>
      <c r="J204" s="206"/>
      <c r="K204" s="206"/>
      <c r="L204" s="137"/>
      <c r="M204" s="74"/>
      <c r="N204" s="19"/>
      <c r="O204" s="19"/>
      <c r="P204" s="290"/>
      <c r="Q204" s="236">
        <f t="shared" si="42"/>
        <v>0</v>
      </c>
      <c r="R204" s="236">
        <f t="shared" si="43"/>
        <v>0</v>
      </c>
      <c r="S204" s="235"/>
      <c r="T204" s="235"/>
      <c r="U204" s="236">
        <f t="shared" si="44"/>
        <v>0</v>
      </c>
      <c r="V204" s="235"/>
      <c r="W204" s="232">
        <f t="shared" si="45"/>
        <v>0</v>
      </c>
      <c r="X204" s="235"/>
      <c r="Y204" s="235"/>
      <c r="Z204" s="235"/>
    </row>
    <row r="205" spans="1:26" hidden="1" outlineLevel="2">
      <c r="A205" s="160"/>
      <c r="B205" s="74"/>
      <c r="C205" s="207"/>
      <c r="D205" s="208"/>
      <c r="E205" s="133"/>
      <c r="F205" s="261"/>
      <c r="G205" s="138"/>
      <c r="H205" s="139"/>
      <c r="I205" s="206"/>
      <c r="J205" s="206"/>
      <c r="K205" s="206"/>
      <c r="L205" s="137"/>
      <c r="M205" s="74"/>
      <c r="N205" s="19"/>
      <c r="O205" s="19"/>
      <c r="P205" s="290"/>
      <c r="Q205" s="236">
        <f t="shared" si="42"/>
        <v>0</v>
      </c>
      <c r="R205" s="236">
        <f>SUM(S205:T205)</f>
        <v>0</v>
      </c>
      <c r="S205" s="235"/>
      <c r="T205" s="235"/>
      <c r="U205" s="236">
        <f t="shared" si="44"/>
        <v>0</v>
      </c>
      <c r="V205" s="235"/>
      <c r="W205" s="232">
        <f t="shared" si="45"/>
        <v>0</v>
      </c>
      <c r="X205" s="235"/>
      <c r="Y205" s="235"/>
      <c r="Z205" s="235"/>
    </row>
    <row r="206" spans="1:26" hidden="1" outlineLevel="2">
      <c r="A206" s="164"/>
      <c r="B206" s="351"/>
      <c r="C206" s="227"/>
      <c r="D206" s="228"/>
      <c r="E206" s="165"/>
      <c r="F206" s="279"/>
      <c r="G206" s="166"/>
      <c r="H206" s="167"/>
      <c r="I206" s="229"/>
      <c r="J206" s="229"/>
      <c r="K206" s="229"/>
      <c r="L206" s="230"/>
      <c r="M206" s="351"/>
      <c r="N206" s="168"/>
      <c r="O206" s="168"/>
      <c r="P206" s="291"/>
      <c r="Q206" s="233"/>
      <c r="R206" s="233"/>
      <c r="S206" s="233"/>
      <c r="T206" s="233"/>
      <c r="U206" s="233"/>
      <c r="V206" s="233"/>
      <c r="W206" s="233"/>
      <c r="X206" s="233"/>
      <c r="Y206" s="233"/>
      <c r="Z206" s="233"/>
    </row>
    <row r="207" spans="1:26" s="75" customFormat="1" outlineLevel="1" collapsed="1">
      <c r="A207" s="237"/>
      <c r="B207" s="238"/>
      <c r="C207" s="239"/>
      <c r="D207" s="240"/>
      <c r="E207" s="241"/>
      <c r="F207" s="264"/>
      <c r="G207" s="242"/>
      <c r="H207" s="243"/>
      <c r="I207" s="244"/>
      <c r="J207" s="244"/>
      <c r="K207" s="244"/>
      <c r="L207" s="150" t="str">
        <f>CONCATENATE(L208," ",N208,M208," ",L209," ",N209,M209," "," ",L210," ",N210,M210," ",L211," ",N211,M211," ",L212," ",N212,M212," ",L213," ",N213,M213," ",L214," ",N214,M214," ",L215," ",N215,M215)</f>
        <v xml:space="preserve">                </v>
      </c>
      <c r="M207" s="243"/>
      <c r="N207" s="243"/>
      <c r="O207" s="287">
        <f>SUM(O208:O215)</f>
        <v>0</v>
      </c>
      <c r="P207" s="289"/>
      <c r="Q207" s="246">
        <f>SUM(Q208:Q215)</f>
        <v>0</v>
      </c>
      <c r="R207" s="246">
        <f t="shared" ref="R207:Y207" si="46">SUM(R208:R215)</f>
        <v>0</v>
      </c>
      <c r="S207" s="246">
        <f t="shared" si="46"/>
        <v>0</v>
      </c>
      <c r="T207" s="246">
        <f t="shared" si="46"/>
        <v>0</v>
      </c>
      <c r="U207" s="246">
        <f t="shared" si="46"/>
        <v>0</v>
      </c>
      <c r="V207" s="246">
        <f t="shared" si="46"/>
        <v>0</v>
      </c>
      <c r="W207" s="246">
        <f t="shared" si="46"/>
        <v>0</v>
      </c>
      <c r="X207" s="246">
        <f t="shared" si="46"/>
        <v>0</v>
      </c>
      <c r="Y207" s="246">
        <f t="shared" si="46"/>
        <v>0</v>
      </c>
      <c r="Z207" s="246">
        <f>SUM(Z208:Z215)</f>
        <v>0</v>
      </c>
    </row>
    <row r="208" spans="1:26" hidden="1" outlineLevel="2">
      <c r="A208" s="19"/>
      <c r="B208" s="74"/>
      <c r="C208" s="207"/>
      <c r="D208" s="208"/>
      <c r="E208" s="133"/>
      <c r="F208" s="261"/>
      <c r="G208" s="138"/>
      <c r="H208" s="135"/>
      <c r="I208" s="206"/>
      <c r="J208" s="206"/>
      <c r="K208" s="206"/>
      <c r="L208" s="137"/>
      <c r="M208" s="163"/>
      <c r="N208" s="163"/>
      <c r="O208" s="288"/>
      <c r="P208" s="290"/>
      <c r="Q208" s="236">
        <f>SUM(R208,U208)</f>
        <v>0</v>
      </c>
      <c r="R208" s="236">
        <f>SUM(S208:T208)</f>
        <v>0</v>
      </c>
      <c r="S208" s="236"/>
      <c r="T208" s="236"/>
      <c r="U208" s="236">
        <f>SUM(V208:Y208)</f>
        <v>0</v>
      </c>
      <c r="V208" s="236"/>
      <c r="W208" s="232">
        <f>V208*0.304</f>
        <v>0</v>
      </c>
      <c r="X208" s="236"/>
      <c r="Y208" s="236"/>
      <c r="Z208" s="236"/>
    </row>
    <row r="209" spans="1:26" hidden="1" outlineLevel="2">
      <c r="A209" s="19"/>
      <c r="B209" s="74"/>
      <c r="C209" s="207"/>
      <c r="D209" s="208"/>
      <c r="E209" s="133"/>
      <c r="F209" s="261"/>
      <c r="G209" s="138"/>
      <c r="H209" s="135"/>
      <c r="I209" s="206"/>
      <c r="J209" s="206"/>
      <c r="K209" s="206"/>
      <c r="L209" s="137"/>
      <c r="M209" s="163"/>
      <c r="N209" s="163"/>
      <c r="O209" s="288"/>
      <c r="P209" s="290"/>
      <c r="Q209" s="236">
        <f t="shared" ref="Q209:Q215" si="47">SUM(R209,U209)</f>
        <v>0</v>
      </c>
      <c r="R209" s="236">
        <f t="shared" ref="R209:R214" si="48">SUM(S209:T209)</f>
        <v>0</v>
      </c>
      <c r="S209" s="236"/>
      <c r="T209" s="236"/>
      <c r="U209" s="236">
        <f t="shared" ref="U209:U215" si="49">SUM(V209:Y209)</f>
        <v>0</v>
      </c>
      <c r="V209" s="236"/>
      <c r="W209" s="232">
        <f t="shared" ref="W209:W215" si="50">V209*0.304</f>
        <v>0</v>
      </c>
      <c r="X209" s="236"/>
      <c r="Y209" s="236"/>
      <c r="Z209" s="236"/>
    </row>
    <row r="210" spans="1:26" hidden="1" outlineLevel="2">
      <c r="A210" s="19"/>
      <c r="B210" s="74"/>
      <c r="C210" s="207"/>
      <c r="D210" s="208"/>
      <c r="E210" s="133"/>
      <c r="F210" s="261"/>
      <c r="G210" s="138"/>
      <c r="H210" s="135"/>
      <c r="I210" s="206"/>
      <c r="J210" s="206"/>
      <c r="K210" s="206"/>
      <c r="L210" s="137"/>
      <c r="M210" s="163"/>
      <c r="N210" s="163"/>
      <c r="O210" s="288"/>
      <c r="P210" s="290"/>
      <c r="Q210" s="236">
        <f t="shared" si="47"/>
        <v>0</v>
      </c>
      <c r="R210" s="236">
        <f t="shared" si="48"/>
        <v>0</v>
      </c>
      <c r="S210" s="236"/>
      <c r="T210" s="236"/>
      <c r="U210" s="236">
        <f t="shared" si="49"/>
        <v>0</v>
      </c>
      <c r="V210" s="236"/>
      <c r="W210" s="232">
        <f t="shared" si="50"/>
        <v>0</v>
      </c>
      <c r="X210" s="236"/>
      <c r="Y210" s="236"/>
      <c r="Z210" s="236"/>
    </row>
    <row r="211" spans="1:26" hidden="1" outlineLevel="2">
      <c r="A211" s="19"/>
      <c r="B211" s="74"/>
      <c r="C211" s="207"/>
      <c r="D211" s="208"/>
      <c r="E211" s="133"/>
      <c r="F211" s="261"/>
      <c r="G211" s="138"/>
      <c r="H211" s="135"/>
      <c r="I211" s="206"/>
      <c r="J211" s="206"/>
      <c r="K211" s="206"/>
      <c r="L211" s="137"/>
      <c r="M211" s="163"/>
      <c r="N211" s="163"/>
      <c r="O211" s="288"/>
      <c r="P211" s="290"/>
      <c r="Q211" s="236">
        <f t="shared" si="47"/>
        <v>0</v>
      </c>
      <c r="R211" s="236">
        <f t="shared" si="48"/>
        <v>0</v>
      </c>
      <c r="S211" s="236"/>
      <c r="T211" s="236"/>
      <c r="U211" s="236">
        <f t="shared" si="49"/>
        <v>0</v>
      </c>
      <c r="V211" s="236"/>
      <c r="W211" s="232">
        <f t="shared" si="50"/>
        <v>0</v>
      </c>
      <c r="X211" s="236"/>
      <c r="Y211" s="236"/>
      <c r="Z211" s="236"/>
    </row>
    <row r="212" spans="1:26" hidden="1" outlineLevel="2">
      <c r="A212" s="19"/>
      <c r="B212" s="74"/>
      <c r="C212" s="207"/>
      <c r="D212" s="208"/>
      <c r="E212" s="133"/>
      <c r="F212" s="261"/>
      <c r="G212" s="138"/>
      <c r="H212" s="135"/>
      <c r="I212" s="206"/>
      <c r="J212" s="206"/>
      <c r="K212" s="206"/>
      <c r="L212" s="137"/>
      <c r="M212" s="163"/>
      <c r="N212" s="163"/>
      <c r="O212" s="288"/>
      <c r="P212" s="290"/>
      <c r="Q212" s="236">
        <f t="shared" si="47"/>
        <v>0</v>
      </c>
      <c r="R212" s="236">
        <f t="shared" si="48"/>
        <v>0</v>
      </c>
      <c r="S212" s="236"/>
      <c r="T212" s="236"/>
      <c r="U212" s="236">
        <f t="shared" si="49"/>
        <v>0</v>
      </c>
      <c r="V212" s="236"/>
      <c r="W212" s="232">
        <f t="shared" si="50"/>
        <v>0</v>
      </c>
      <c r="X212" s="236"/>
      <c r="Y212" s="236"/>
      <c r="Z212" s="236"/>
    </row>
    <row r="213" spans="1:26" hidden="1" outlineLevel="2">
      <c r="A213" s="160"/>
      <c r="B213" s="74"/>
      <c r="C213" s="207"/>
      <c r="D213" s="208"/>
      <c r="E213" s="133"/>
      <c r="F213" s="261"/>
      <c r="G213" s="138"/>
      <c r="H213" s="139"/>
      <c r="I213" s="206"/>
      <c r="J213" s="206"/>
      <c r="K213" s="206"/>
      <c r="L213" s="137"/>
      <c r="M213" s="74"/>
      <c r="N213" s="74"/>
      <c r="O213" s="19"/>
      <c r="P213" s="290"/>
      <c r="Q213" s="236">
        <f t="shared" si="47"/>
        <v>0</v>
      </c>
      <c r="R213" s="236">
        <f t="shared" si="48"/>
        <v>0</v>
      </c>
      <c r="S213" s="235"/>
      <c r="T213" s="235"/>
      <c r="U213" s="236">
        <f t="shared" si="49"/>
        <v>0</v>
      </c>
      <c r="V213" s="235"/>
      <c r="W213" s="232">
        <f t="shared" si="50"/>
        <v>0</v>
      </c>
      <c r="X213" s="235"/>
      <c r="Y213" s="235"/>
      <c r="Z213" s="235"/>
    </row>
    <row r="214" spans="1:26" hidden="1" outlineLevel="2">
      <c r="A214" s="160"/>
      <c r="B214" s="74"/>
      <c r="C214" s="207"/>
      <c r="D214" s="208"/>
      <c r="E214" s="133"/>
      <c r="F214" s="261"/>
      <c r="G214" s="138"/>
      <c r="H214" s="139"/>
      <c r="I214" s="206"/>
      <c r="J214" s="206"/>
      <c r="K214" s="206"/>
      <c r="L214" s="137"/>
      <c r="M214" s="74"/>
      <c r="N214" s="19"/>
      <c r="O214" s="19"/>
      <c r="P214" s="290"/>
      <c r="Q214" s="236">
        <f t="shared" si="47"/>
        <v>0</v>
      </c>
      <c r="R214" s="236">
        <f t="shared" si="48"/>
        <v>0</v>
      </c>
      <c r="S214" s="235"/>
      <c r="T214" s="235"/>
      <c r="U214" s="236">
        <f t="shared" si="49"/>
        <v>0</v>
      </c>
      <c r="V214" s="235"/>
      <c r="W214" s="232">
        <f t="shared" si="50"/>
        <v>0</v>
      </c>
      <c r="X214" s="235"/>
      <c r="Y214" s="235"/>
      <c r="Z214" s="235"/>
    </row>
    <row r="215" spans="1:26" hidden="1" outlineLevel="2">
      <c r="A215" s="160"/>
      <c r="B215" s="74"/>
      <c r="C215" s="207"/>
      <c r="D215" s="208"/>
      <c r="E215" s="133"/>
      <c r="F215" s="261"/>
      <c r="G215" s="138"/>
      <c r="H215" s="139"/>
      <c r="I215" s="206"/>
      <c r="J215" s="206"/>
      <c r="K215" s="206"/>
      <c r="L215" s="137"/>
      <c r="M215" s="74"/>
      <c r="N215" s="19"/>
      <c r="O215" s="19"/>
      <c r="P215" s="290"/>
      <c r="Q215" s="236">
        <f t="shared" si="47"/>
        <v>0</v>
      </c>
      <c r="R215" s="236">
        <f>SUM(S215:T215)</f>
        <v>0</v>
      </c>
      <c r="S215" s="235"/>
      <c r="T215" s="235"/>
      <c r="U215" s="236">
        <f t="shared" si="49"/>
        <v>0</v>
      </c>
      <c r="V215" s="235"/>
      <c r="W215" s="232">
        <f t="shared" si="50"/>
        <v>0</v>
      </c>
      <c r="X215" s="235"/>
      <c r="Y215" s="235"/>
      <c r="Z215" s="235"/>
    </row>
    <row r="216" spans="1:26" hidden="1" outlineLevel="2">
      <c r="A216" s="164"/>
      <c r="B216" s="351"/>
      <c r="C216" s="227"/>
      <c r="D216" s="228"/>
      <c r="E216" s="165"/>
      <c r="F216" s="279"/>
      <c r="G216" s="166"/>
      <c r="H216" s="167"/>
      <c r="I216" s="229"/>
      <c r="J216" s="229"/>
      <c r="K216" s="229"/>
      <c r="L216" s="230"/>
      <c r="M216" s="351"/>
      <c r="N216" s="168"/>
      <c r="O216" s="168"/>
      <c r="P216" s="291"/>
      <c r="Q216" s="233"/>
      <c r="R216" s="233"/>
      <c r="S216" s="233"/>
      <c r="T216" s="233"/>
      <c r="U216" s="233"/>
      <c r="V216" s="233"/>
      <c r="W216" s="233"/>
      <c r="X216" s="233"/>
      <c r="Y216" s="233"/>
      <c r="Z216" s="233"/>
    </row>
    <row r="217" spans="1:26" s="75" customFormat="1" outlineLevel="1" collapsed="1">
      <c r="A217" s="237"/>
      <c r="B217" s="238"/>
      <c r="C217" s="239"/>
      <c r="D217" s="240"/>
      <c r="E217" s="241"/>
      <c r="F217" s="264"/>
      <c r="G217" s="242"/>
      <c r="H217" s="243"/>
      <c r="I217" s="244"/>
      <c r="J217" s="244"/>
      <c r="K217" s="244"/>
      <c r="L217" s="150" t="str">
        <f>CONCATENATE(L218," ",N218,M218," ",L219," ",N219,M219," "," ",L220," ",N220,M220," ",L221," ",N221,M221," ",L222," ",N222,M222," ",L223," ",N223,M223," ",L224," ",N224,M224," ",L225," ",N225,M225)</f>
        <v xml:space="preserve">                </v>
      </c>
      <c r="M217" s="243"/>
      <c r="N217" s="243"/>
      <c r="O217" s="287">
        <f>SUM(O218:O225)</f>
        <v>0</v>
      </c>
      <c r="P217" s="289"/>
      <c r="Q217" s="246">
        <f>SUM(Q218:Q225)</f>
        <v>0</v>
      </c>
      <c r="R217" s="246">
        <f t="shared" ref="R217:Y217" si="51">SUM(R218:R225)</f>
        <v>0</v>
      </c>
      <c r="S217" s="246">
        <f t="shared" si="51"/>
        <v>0</v>
      </c>
      <c r="T217" s="246">
        <f t="shared" si="51"/>
        <v>0</v>
      </c>
      <c r="U217" s="246">
        <f t="shared" si="51"/>
        <v>0</v>
      </c>
      <c r="V217" s="246">
        <f t="shared" si="51"/>
        <v>0</v>
      </c>
      <c r="W217" s="246">
        <f t="shared" si="51"/>
        <v>0</v>
      </c>
      <c r="X217" s="246">
        <f t="shared" si="51"/>
        <v>0</v>
      </c>
      <c r="Y217" s="246">
        <f t="shared" si="51"/>
        <v>0</v>
      </c>
      <c r="Z217" s="246">
        <f>SUM(Z218:Z225)</f>
        <v>0</v>
      </c>
    </row>
    <row r="218" spans="1:26" hidden="1" outlineLevel="2">
      <c r="A218" s="19"/>
      <c r="B218" s="74"/>
      <c r="C218" s="207"/>
      <c r="D218" s="208"/>
      <c r="E218" s="133"/>
      <c r="F218" s="261"/>
      <c r="G218" s="138"/>
      <c r="H218" s="135"/>
      <c r="I218" s="206"/>
      <c r="J218" s="206"/>
      <c r="K218" s="206"/>
      <c r="L218" s="137"/>
      <c r="M218" s="163"/>
      <c r="N218" s="163"/>
      <c r="O218" s="288"/>
      <c r="P218" s="290"/>
      <c r="Q218" s="236">
        <f>SUM(R218,U218)</f>
        <v>0</v>
      </c>
      <c r="R218" s="236">
        <f>SUM(S218:T218)</f>
        <v>0</v>
      </c>
      <c r="S218" s="236"/>
      <c r="T218" s="236"/>
      <c r="U218" s="236">
        <f>SUM(V218:Y218)</f>
        <v>0</v>
      </c>
      <c r="V218" s="236"/>
      <c r="W218" s="232">
        <f>V218*0.304</f>
        <v>0</v>
      </c>
      <c r="X218" s="236"/>
      <c r="Y218" s="236"/>
      <c r="Z218" s="236"/>
    </row>
    <row r="219" spans="1:26" hidden="1" outlineLevel="2">
      <c r="A219" s="19"/>
      <c r="B219" s="74"/>
      <c r="C219" s="207"/>
      <c r="D219" s="208"/>
      <c r="E219" s="133"/>
      <c r="F219" s="261"/>
      <c r="G219" s="138"/>
      <c r="H219" s="135"/>
      <c r="I219" s="206"/>
      <c r="J219" s="206"/>
      <c r="K219" s="206"/>
      <c r="L219" s="137"/>
      <c r="M219" s="163"/>
      <c r="N219" s="163"/>
      <c r="O219" s="288"/>
      <c r="P219" s="290"/>
      <c r="Q219" s="236">
        <f t="shared" ref="Q219:Q225" si="52">SUM(R219,U219)</f>
        <v>0</v>
      </c>
      <c r="R219" s="236">
        <f t="shared" ref="R219:R224" si="53">SUM(S219:T219)</f>
        <v>0</v>
      </c>
      <c r="S219" s="236"/>
      <c r="T219" s="236"/>
      <c r="U219" s="236">
        <f t="shared" ref="U219:U225" si="54">SUM(V219:Y219)</f>
        <v>0</v>
      </c>
      <c r="V219" s="236"/>
      <c r="W219" s="232">
        <f t="shared" ref="W219:W225" si="55">V219*0.304</f>
        <v>0</v>
      </c>
      <c r="X219" s="236"/>
      <c r="Y219" s="236"/>
      <c r="Z219" s="236"/>
    </row>
    <row r="220" spans="1:26" hidden="1" outlineLevel="2">
      <c r="A220" s="19"/>
      <c r="B220" s="74"/>
      <c r="C220" s="207"/>
      <c r="D220" s="208"/>
      <c r="E220" s="133"/>
      <c r="F220" s="261"/>
      <c r="G220" s="138"/>
      <c r="H220" s="135"/>
      <c r="I220" s="206"/>
      <c r="J220" s="206"/>
      <c r="K220" s="206"/>
      <c r="L220" s="137"/>
      <c r="M220" s="163"/>
      <c r="N220" s="163"/>
      <c r="O220" s="288"/>
      <c r="P220" s="290"/>
      <c r="Q220" s="236">
        <f t="shared" si="52"/>
        <v>0</v>
      </c>
      <c r="R220" s="236">
        <f t="shared" si="53"/>
        <v>0</v>
      </c>
      <c r="S220" s="236"/>
      <c r="T220" s="236"/>
      <c r="U220" s="236">
        <f t="shared" si="54"/>
        <v>0</v>
      </c>
      <c r="V220" s="236"/>
      <c r="W220" s="232">
        <f t="shared" si="55"/>
        <v>0</v>
      </c>
      <c r="X220" s="236"/>
      <c r="Y220" s="236"/>
      <c r="Z220" s="236"/>
    </row>
    <row r="221" spans="1:26" hidden="1" outlineLevel="2">
      <c r="A221" s="19"/>
      <c r="B221" s="74"/>
      <c r="C221" s="207"/>
      <c r="D221" s="208"/>
      <c r="E221" s="133"/>
      <c r="F221" s="261"/>
      <c r="G221" s="138"/>
      <c r="H221" s="135"/>
      <c r="I221" s="206"/>
      <c r="J221" s="206"/>
      <c r="K221" s="206"/>
      <c r="L221" s="137"/>
      <c r="M221" s="163"/>
      <c r="N221" s="163"/>
      <c r="O221" s="288"/>
      <c r="P221" s="290"/>
      <c r="Q221" s="236">
        <f t="shared" si="52"/>
        <v>0</v>
      </c>
      <c r="R221" s="236">
        <f t="shared" si="53"/>
        <v>0</v>
      </c>
      <c r="S221" s="236"/>
      <c r="T221" s="236"/>
      <c r="U221" s="236">
        <f t="shared" si="54"/>
        <v>0</v>
      </c>
      <c r="V221" s="236"/>
      <c r="W221" s="232">
        <f t="shared" si="55"/>
        <v>0</v>
      </c>
      <c r="X221" s="236"/>
      <c r="Y221" s="236"/>
      <c r="Z221" s="236"/>
    </row>
    <row r="222" spans="1:26" hidden="1" outlineLevel="2">
      <c r="A222" s="19"/>
      <c r="B222" s="74"/>
      <c r="C222" s="207"/>
      <c r="D222" s="208"/>
      <c r="E222" s="133"/>
      <c r="F222" s="261"/>
      <c r="G222" s="138"/>
      <c r="H222" s="135"/>
      <c r="I222" s="206"/>
      <c r="J222" s="206"/>
      <c r="K222" s="206"/>
      <c r="L222" s="137"/>
      <c r="M222" s="163"/>
      <c r="N222" s="163"/>
      <c r="O222" s="288"/>
      <c r="P222" s="290"/>
      <c r="Q222" s="236">
        <f t="shared" si="52"/>
        <v>0</v>
      </c>
      <c r="R222" s="236">
        <f t="shared" si="53"/>
        <v>0</v>
      </c>
      <c r="S222" s="236"/>
      <c r="T222" s="236"/>
      <c r="U222" s="236">
        <f t="shared" si="54"/>
        <v>0</v>
      </c>
      <c r="V222" s="236"/>
      <c r="W222" s="232">
        <f t="shared" si="55"/>
        <v>0</v>
      </c>
      <c r="X222" s="236"/>
      <c r="Y222" s="236"/>
      <c r="Z222" s="236"/>
    </row>
    <row r="223" spans="1:26" hidden="1" outlineLevel="2">
      <c r="A223" s="160"/>
      <c r="B223" s="74"/>
      <c r="C223" s="207"/>
      <c r="D223" s="208"/>
      <c r="E223" s="133"/>
      <c r="F223" s="261"/>
      <c r="G223" s="138"/>
      <c r="H223" s="139"/>
      <c r="I223" s="206"/>
      <c r="J223" s="206"/>
      <c r="K223" s="206"/>
      <c r="L223" s="137"/>
      <c r="M223" s="74"/>
      <c r="N223" s="74"/>
      <c r="O223" s="19"/>
      <c r="P223" s="290"/>
      <c r="Q223" s="236">
        <f t="shared" si="52"/>
        <v>0</v>
      </c>
      <c r="R223" s="236">
        <f t="shared" si="53"/>
        <v>0</v>
      </c>
      <c r="S223" s="235"/>
      <c r="T223" s="235"/>
      <c r="U223" s="236">
        <f t="shared" si="54"/>
        <v>0</v>
      </c>
      <c r="V223" s="235"/>
      <c r="W223" s="232">
        <f t="shared" si="55"/>
        <v>0</v>
      </c>
      <c r="X223" s="235"/>
      <c r="Y223" s="235"/>
      <c r="Z223" s="235"/>
    </row>
    <row r="224" spans="1:26" hidden="1" outlineLevel="2">
      <c r="A224" s="160"/>
      <c r="B224" s="74"/>
      <c r="C224" s="207"/>
      <c r="D224" s="208"/>
      <c r="E224" s="133"/>
      <c r="F224" s="261"/>
      <c r="G224" s="138"/>
      <c r="H224" s="139"/>
      <c r="I224" s="206"/>
      <c r="J224" s="206"/>
      <c r="K224" s="206"/>
      <c r="L224" s="137"/>
      <c r="M224" s="74"/>
      <c r="N224" s="19"/>
      <c r="O224" s="19"/>
      <c r="P224" s="290"/>
      <c r="Q224" s="236">
        <f t="shared" si="52"/>
        <v>0</v>
      </c>
      <c r="R224" s="236">
        <f t="shared" si="53"/>
        <v>0</v>
      </c>
      <c r="S224" s="235"/>
      <c r="T224" s="235"/>
      <c r="U224" s="236">
        <f t="shared" si="54"/>
        <v>0</v>
      </c>
      <c r="V224" s="235"/>
      <c r="W224" s="232">
        <f t="shared" si="55"/>
        <v>0</v>
      </c>
      <c r="X224" s="235"/>
      <c r="Y224" s="235"/>
      <c r="Z224" s="235"/>
    </row>
    <row r="225" spans="1:26" hidden="1" outlineLevel="2">
      <c r="A225" s="160"/>
      <c r="B225" s="74"/>
      <c r="C225" s="207"/>
      <c r="D225" s="208"/>
      <c r="E225" s="133"/>
      <c r="F225" s="261"/>
      <c r="G225" s="138"/>
      <c r="H225" s="139"/>
      <c r="I225" s="206"/>
      <c r="J225" s="206"/>
      <c r="K225" s="206"/>
      <c r="L225" s="137"/>
      <c r="M225" s="74"/>
      <c r="N225" s="19"/>
      <c r="O225" s="19"/>
      <c r="P225" s="290"/>
      <c r="Q225" s="236">
        <f t="shared" si="52"/>
        <v>0</v>
      </c>
      <c r="R225" s="236">
        <f>SUM(S225:T225)</f>
        <v>0</v>
      </c>
      <c r="S225" s="235"/>
      <c r="T225" s="235"/>
      <c r="U225" s="236">
        <f t="shared" si="54"/>
        <v>0</v>
      </c>
      <c r="V225" s="235"/>
      <c r="W225" s="232">
        <f t="shared" si="55"/>
        <v>0</v>
      </c>
      <c r="X225" s="235"/>
      <c r="Y225" s="235"/>
      <c r="Z225" s="235"/>
    </row>
    <row r="226" spans="1:26" hidden="1" outlineLevel="2">
      <c r="A226" s="164"/>
      <c r="B226" s="351"/>
      <c r="C226" s="227"/>
      <c r="D226" s="228"/>
      <c r="E226" s="165"/>
      <c r="F226" s="279"/>
      <c r="G226" s="166"/>
      <c r="H226" s="167"/>
      <c r="I226" s="229"/>
      <c r="J226" s="229"/>
      <c r="K226" s="229"/>
      <c r="L226" s="230"/>
      <c r="M226" s="351"/>
      <c r="N226" s="168"/>
      <c r="O226" s="168"/>
      <c r="P226" s="291"/>
      <c r="Q226" s="233"/>
      <c r="R226" s="233"/>
      <c r="S226" s="233"/>
      <c r="T226" s="233"/>
      <c r="U226" s="233"/>
      <c r="V226" s="233"/>
      <c r="W226" s="233"/>
      <c r="X226" s="233"/>
      <c r="Y226" s="233"/>
      <c r="Z226" s="233"/>
    </row>
    <row r="227" spans="1:26" s="75" customFormat="1" outlineLevel="1" collapsed="1">
      <c r="A227" s="237"/>
      <c r="B227" s="238"/>
      <c r="C227" s="239"/>
      <c r="D227" s="240"/>
      <c r="E227" s="241"/>
      <c r="F227" s="264"/>
      <c r="G227" s="242"/>
      <c r="H227" s="243"/>
      <c r="I227" s="244"/>
      <c r="J227" s="244"/>
      <c r="K227" s="244"/>
      <c r="L227" s="150" t="str">
        <f>CONCATENATE(L228," ",N228,M228," ",L229," ",N229,M229," "," ",L230," ",N230,M230," ",L231," ",N231,M231," ",L232," ",N232,M232," ",L233," ",N233,M233," ",L234," ",N234,M234," ",L235," ",N235,M235)</f>
        <v xml:space="preserve">                </v>
      </c>
      <c r="M227" s="243"/>
      <c r="N227" s="243"/>
      <c r="O227" s="287">
        <f>SUM(O228:O235)</f>
        <v>0</v>
      </c>
      <c r="P227" s="289"/>
      <c r="Q227" s="246">
        <f>SUM(Q228:Q235)</f>
        <v>0</v>
      </c>
      <c r="R227" s="246">
        <f t="shared" ref="R227:Y227" si="56">SUM(R228:R235)</f>
        <v>0</v>
      </c>
      <c r="S227" s="246">
        <f t="shared" si="56"/>
        <v>0</v>
      </c>
      <c r="T227" s="246">
        <f t="shared" si="56"/>
        <v>0</v>
      </c>
      <c r="U227" s="246">
        <f t="shared" si="56"/>
        <v>0</v>
      </c>
      <c r="V227" s="246">
        <f t="shared" si="56"/>
        <v>0</v>
      </c>
      <c r="W227" s="246">
        <f t="shared" si="56"/>
        <v>0</v>
      </c>
      <c r="X227" s="246">
        <f t="shared" si="56"/>
        <v>0</v>
      </c>
      <c r="Y227" s="246">
        <f t="shared" si="56"/>
        <v>0</v>
      </c>
      <c r="Z227" s="246">
        <f>SUM(Z228:Z235)</f>
        <v>0</v>
      </c>
    </row>
    <row r="228" spans="1:26" hidden="1" outlineLevel="2">
      <c r="A228" s="19"/>
      <c r="B228" s="74"/>
      <c r="C228" s="207"/>
      <c r="D228" s="208"/>
      <c r="E228" s="133"/>
      <c r="F228" s="261"/>
      <c r="G228" s="138"/>
      <c r="H228" s="135"/>
      <c r="I228" s="206"/>
      <c r="J228" s="206"/>
      <c r="K228" s="206"/>
      <c r="L228" s="137"/>
      <c r="M228" s="163"/>
      <c r="N228" s="163"/>
      <c r="O228" s="288"/>
      <c r="P228" s="290"/>
      <c r="Q228" s="236">
        <f>SUM(R228,U228)</f>
        <v>0</v>
      </c>
      <c r="R228" s="236">
        <f>SUM(S228:T228)</f>
        <v>0</v>
      </c>
      <c r="S228" s="236"/>
      <c r="T228" s="236"/>
      <c r="U228" s="236">
        <f>SUM(V228:Y228)</f>
        <v>0</v>
      </c>
      <c r="V228" s="236"/>
      <c r="W228" s="232">
        <f>V228*0.304</f>
        <v>0</v>
      </c>
      <c r="X228" s="236"/>
      <c r="Y228" s="236"/>
      <c r="Z228" s="236"/>
    </row>
    <row r="229" spans="1:26" hidden="1" outlineLevel="2">
      <c r="A229" s="19"/>
      <c r="B229" s="74"/>
      <c r="C229" s="207"/>
      <c r="D229" s="208"/>
      <c r="E229" s="133"/>
      <c r="F229" s="261"/>
      <c r="G229" s="138"/>
      <c r="H229" s="135"/>
      <c r="I229" s="206"/>
      <c r="J229" s="206"/>
      <c r="K229" s="206"/>
      <c r="L229" s="137"/>
      <c r="M229" s="163"/>
      <c r="N229" s="163"/>
      <c r="O229" s="288"/>
      <c r="P229" s="290"/>
      <c r="Q229" s="236">
        <f t="shared" ref="Q229:Q235" si="57">SUM(R229,U229)</f>
        <v>0</v>
      </c>
      <c r="R229" s="236">
        <f t="shared" ref="R229:R234" si="58">SUM(S229:T229)</f>
        <v>0</v>
      </c>
      <c r="S229" s="236"/>
      <c r="T229" s="236"/>
      <c r="U229" s="236">
        <f t="shared" ref="U229:U235" si="59">SUM(V229:Y229)</f>
        <v>0</v>
      </c>
      <c r="V229" s="236"/>
      <c r="W229" s="232">
        <f t="shared" ref="W229:W235" si="60">V229*0.304</f>
        <v>0</v>
      </c>
      <c r="X229" s="236"/>
      <c r="Y229" s="236"/>
      <c r="Z229" s="236"/>
    </row>
    <row r="230" spans="1:26" hidden="1" outlineLevel="2">
      <c r="A230" s="19"/>
      <c r="B230" s="74"/>
      <c r="C230" s="207"/>
      <c r="D230" s="208"/>
      <c r="E230" s="133"/>
      <c r="F230" s="261"/>
      <c r="G230" s="138"/>
      <c r="H230" s="135"/>
      <c r="I230" s="206"/>
      <c r="J230" s="206"/>
      <c r="K230" s="206"/>
      <c r="L230" s="137"/>
      <c r="M230" s="163"/>
      <c r="N230" s="163"/>
      <c r="O230" s="288"/>
      <c r="P230" s="290"/>
      <c r="Q230" s="236">
        <f t="shared" si="57"/>
        <v>0</v>
      </c>
      <c r="R230" s="236">
        <f t="shared" si="58"/>
        <v>0</v>
      </c>
      <c r="S230" s="236"/>
      <c r="T230" s="236"/>
      <c r="U230" s="236">
        <f t="shared" si="59"/>
        <v>0</v>
      </c>
      <c r="V230" s="236"/>
      <c r="W230" s="232">
        <f t="shared" si="60"/>
        <v>0</v>
      </c>
      <c r="X230" s="236"/>
      <c r="Y230" s="236"/>
      <c r="Z230" s="236"/>
    </row>
    <row r="231" spans="1:26" hidden="1" outlineLevel="2">
      <c r="A231" s="19"/>
      <c r="B231" s="74"/>
      <c r="C231" s="207"/>
      <c r="D231" s="208"/>
      <c r="E231" s="133"/>
      <c r="F231" s="261"/>
      <c r="G231" s="138"/>
      <c r="H231" s="135"/>
      <c r="I231" s="206"/>
      <c r="J231" s="206"/>
      <c r="K231" s="206"/>
      <c r="L231" s="137"/>
      <c r="M231" s="163"/>
      <c r="N231" s="163"/>
      <c r="O231" s="288"/>
      <c r="P231" s="290"/>
      <c r="Q231" s="236">
        <f t="shared" si="57"/>
        <v>0</v>
      </c>
      <c r="R231" s="236">
        <f t="shared" si="58"/>
        <v>0</v>
      </c>
      <c r="S231" s="236"/>
      <c r="T231" s="236"/>
      <c r="U231" s="236">
        <f t="shared" si="59"/>
        <v>0</v>
      </c>
      <c r="V231" s="236"/>
      <c r="W231" s="232">
        <f t="shared" si="60"/>
        <v>0</v>
      </c>
      <c r="X231" s="236"/>
      <c r="Y231" s="236"/>
      <c r="Z231" s="236"/>
    </row>
    <row r="232" spans="1:26" hidden="1" outlineLevel="2">
      <c r="A232" s="19"/>
      <c r="B232" s="74"/>
      <c r="C232" s="207"/>
      <c r="D232" s="208"/>
      <c r="E232" s="133"/>
      <c r="F232" s="261"/>
      <c r="G232" s="138"/>
      <c r="H232" s="135"/>
      <c r="I232" s="206"/>
      <c r="J232" s="206"/>
      <c r="K232" s="206"/>
      <c r="L232" s="137"/>
      <c r="M232" s="163"/>
      <c r="N232" s="163"/>
      <c r="O232" s="288"/>
      <c r="P232" s="290"/>
      <c r="Q232" s="236">
        <f t="shared" si="57"/>
        <v>0</v>
      </c>
      <c r="R232" s="236">
        <f t="shared" si="58"/>
        <v>0</v>
      </c>
      <c r="S232" s="236"/>
      <c r="T232" s="236"/>
      <c r="U232" s="236">
        <f t="shared" si="59"/>
        <v>0</v>
      </c>
      <c r="V232" s="236"/>
      <c r="W232" s="232">
        <f t="shared" si="60"/>
        <v>0</v>
      </c>
      <c r="X232" s="236"/>
      <c r="Y232" s="236"/>
      <c r="Z232" s="236"/>
    </row>
    <row r="233" spans="1:26" hidden="1" outlineLevel="2">
      <c r="A233" s="160"/>
      <c r="B233" s="74"/>
      <c r="C233" s="207"/>
      <c r="D233" s="208"/>
      <c r="E233" s="133"/>
      <c r="F233" s="261"/>
      <c r="G233" s="138"/>
      <c r="H233" s="139"/>
      <c r="I233" s="206"/>
      <c r="J233" s="206"/>
      <c r="K233" s="206"/>
      <c r="L233" s="137"/>
      <c r="M233" s="74"/>
      <c r="N233" s="74"/>
      <c r="O233" s="19"/>
      <c r="P233" s="290"/>
      <c r="Q233" s="236">
        <f t="shared" si="57"/>
        <v>0</v>
      </c>
      <c r="R233" s="236">
        <f t="shared" si="58"/>
        <v>0</v>
      </c>
      <c r="S233" s="235"/>
      <c r="T233" s="235"/>
      <c r="U233" s="236">
        <f t="shared" si="59"/>
        <v>0</v>
      </c>
      <c r="V233" s="235"/>
      <c r="W233" s="232">
        <f t="shared" si="60"/>
        <v>0</v>
      </c>
      <c r="X233" s="235"/>
      <c r="Y233" s="235"/>
      <c r="Z233" s="235"/>
    </row>
    <row r="234" spans="1:26" hidden="1" outlineLevel="2">
      <c r="A234" s="160"/>
      <c r="B234" s="74"/>
      <c r="C234" s="207"/>
      <c r="D234" s="208"/>
      <c r="E234" s="133"/>
      <c r="F234" s="261"/>
      <c r="G234" s="138"/>
      <c r="H234" s="139"/>
      <c r="I234" s="206"/>
      <c r="J234" s="206"/>
      <c r="K234" s="206"/>
      <c r="L234" s="137"/>
      <c r="M234" s="74"/>
      <c r="N234" s="19"/>
      <c r="O234" s="19"/>
      <c r="P234" s="290"/>
      <c r="Q234" s="236">
        <f t="shared" si="57"/>
        <v>0</v>
      </c>
      <c r="R234" s="236">
        <f t="shared" si="58"/>
        <v>0</v>
      </c>
      <c r="S234" s="235"/>
      <c r="T234" s="235"/>
      <c r="U234" s="236">
        <f t="shared" si="59"/>
        <v>0</v>
      </c>
      <c r="V234" s="235"/>
      <c r="W234" s="232">
        <f t="shared" si="60"/>
        <v>0</v>
      </c>
      <c r="X234" s="235"/>
      <c r="Y234" s="235"/>
      <c r="Z234" s="235"/>
    </row>
    <row r="235" spans="1:26" hidden="1" outlineLevel="2">
      <c r="A235" s="160"/>
      <c r="B235" s="74"/>
      <c r="C235" s="207"/>
      <c r="D235" s="208"/>
      <c r="E235" s="133"/>
      <c r="F235" s="261"/>
      <c r="G235" s="138"/>
      <c r="H235" s="139"/>
      <c r="I235" s="206"/>
      <c r="J235" s="206"/>
      <c r="K235" s="206"/>
      <c r="L235" s="137"/>
      <c r="M235" s="74"/>
      <c r="N235" s="19"/>
      <c r="O235" s="19"/>
      <c r="P235" s="290"/>
      <c r="Q235" s="236">
        <f t="shared" si="57"/>
        <v>0</v>
      </c>
      <c r="R235" s="236">
        <f>SUM(S235:T235)</f>
        <v>0</v>
      </c>
      <c r="S235" s="235"/>
      <c r="T235" s="235"/>
      <c r="U235" s="236">
        <f t="shared" si="59"/>
        <v>0</v>
      </c>
      <c r="V235" s="235"/>
      <c r="W235" s="232">
        <f t="shared" si="60"/>
        <v>0</v>
      </c>
      <c r="X235" s="235"/>
      <c r="Y235" s="235"/>
      <c r="Z235" s="235"/>
    </row>
    <row r="236" spans="1:26" hidden="1" outlineLevel="2">
      <c r="A236" s="164"/>
      <c r="B236" s="351"/>
      <c r="C236" s="227"/>
      <c r="D236" s="228"/>
      <c r="E236" s="165"/>
      <c r="F236" s="279"/>
      <c r="G236" s="166"/>
      <c r="H236" s="167"/>
      <c r="I236" s="229"/>
      <c r="J236" s="229"/>
      <c r="K236" s="229"/>
      <c r="L236" s="230"/>
      <c r="M236" s="351"/>
      <c r="N236" s="168"/>
      <c r="O236" s="168"/>
      <c r="P236" s="291"/>
      <c r="Q236" s="233"/>
      <c r="R236" s="233"/>
      <c r="S236" s="233"/>
      <c r="T236" s="233"/>
      <c r="U236" s="233"/>
      <c r="V236" s="233"/>
      <c r="W236" s="233"/>
      <c r="X236" s="233"/>
      <c r="Y236" s="233"/>
      <c r="Z236" s="233"/>
    </row>
    <row r="237" spans="1:26" s="75" customFormat="1" outlineLevel="1" collapsed="1">
      <c r="A237" s="237"/>
      <c r="B237" s="238"/>
      <c r="C237" s="239"/>
      <c r="D237" s="240"/>
      <c r="E237" s="241"/>
      <c r="F237" s="264"/>
      <c r="G237" s="242"/>
      <c r="H237" s="243"/>
      <c r="I237" s="244"/>
      <c r="J237" s="244"/>
      <c r="K237" s="244"/>
      <c r="L237" s="150" t="str">
        <f>CONCATENATE(L238," ",N238,M238," ",L239," ",N239,M239," "," ",L240," ",N240,M240," ",L241," ",N241,M241," ",L242," ",N242,M242," ",L243," ",N243,M243," ",L244," ",N244,M244," ",L245," ",N245,M245)</f>
        <v xml:space="preserve">                </v>
      </c>
      <c r="M237" s="243"/>
      <c r="N237" s="243"/>
      <c r="O237" s="287">
        <f>SUM(O238:O245)</f>
        <v>0</v>
      </c>
      <c r="P237" s="289"/>
      <c r="Q237" s="246">
        <f>SUM(Q238:Q245)</f>
        <v>0</v>
      </c>
      <c r="R237" s="246">
        <f t="shared" ref="R237:Y237" si="61">SUM(R238:R245)</f>
        <v>0</v>
      </c>
      <c r="S237" s="246">
        <f t="shared" si="61"/>
        <v>0</v>
      </c>
      <c r="T237" s="246">
        <f t="shared" si="61"/>
        <v>0</v>
      </c>
      <c r="U237" s="246">
        <f t="shared" si="61"/>
        <v>0</v>
      </c>
      <c r="V237" s="246">
        <f t="shared" si="61"/>
        <v>0</v>
      </c>
      <c r="W237" s="246">
        <f t="shared" si="61"/>
        <v>0</v>
      </c>
      <c r="X237" s="246">
        <f t="shared" si="61"/>
        <v>0</v>
      </c>
      <c r="Y237" s="246">
        <f t="shared" si="61"/>
        <v>0</v>
      </c>
      <c r="Z237" s="246">
        <f>SUM(Z238:Z245)</f>
        <v>0</v>
      </c>
    </row>
    <row r="238" spans="1:26" hidden="1" outlineLevel="2">
      <c r="A238" s="19"/>
      <c r="B238" s="74"/>
      <c r="C238" s="207"/>
      <c r="D238" s="208"/>
      <c r="E238" s="133"/>
      <c r="F238" s="261"/>
      <c r="G238" s="138"/>
      <c r="H238" s="135"/>
      <c r="I238" s="206"/>
      <c r="J238" s="206"/>
      <c r="K238" s="206"/>
      <c r="L238" s="137"/>
      <c r="M238" s="163"/>
      <c r="N238" s="163"/>
      <c r="O238" s="288"/>
      <c r="P238" s="290"/>
      <c r="Q238" s="236">
        <f>SUM(R238,U238)</f>
        <v>0</v>
      </c>
      <c r="R238" s="236">
        <f>SUM(S238:T238)</f>
        <v>0</v>
      </c>
      <c r="S238" s="236"/>
      <c r="T238" s="236"/>
      <c r="U238" s="236">
        <f>SUM(V238:Y238)</f>
        <v>0</v>
      </c>
      <c r="V238" s="236"/>
      <c r="W238" s="232">
        <f>V238*0.304</f>
        <v>0</v>
      </c>
      <c r="X238" s="236"/>
      <c r="Y238" s="236"/>
      <c r="Z238" s="236"/>
    </row>
    <row r="239" spans="1:26" hidden="1" outlineLevel="2">
      <c r="A239" s="19"/>
      <c r="B239" s="74"/>
      <c r="C239" s="207"/>
      <c r="D239" s="208"/>
      <c r="E239" s="133"/>
      <c r="F239" s="261"/>
      <c r="G239" s="138"/>
      <c r="H239" s="135"/>
      <c r="I239" s="206"/>
      <c r="J239" s="206"/>
      <c r="K239" s="206"/>
      <c r="L239" s="137"/>
      <c r="M239" s="163"/>
      <c r="N239" s="163"/>
      <c r="O239" s="288"/>
      <c r="P239" s="290"/>
      <c r="Q239" s="236">
        <f t="shared" ref="Q239:Q245" si="62">SUM(R239,U239)</f>
        <v>0</v>
      </c>
      <c r="R239" s="236">
        <f t="shared" ref="R239:R244" si="63">SUM(S239:T239)</f>
        <v>0</v>
      </c>
      <c r="S239" s="236"/>
      <c r="T239" s="236"/>
      <c r="U239" s="236">
        <f t="shared" ref="U239:U245" si="64">SUM(V239:Y239)</f>
        <v>0</v>
      </c>
      <c r="V239" s="236"/>
      <c r="W239" s="232">
        <f t="shared" ref="W239:W245" si="65">V239*0.304</f>
        <v>0</v>
      </c>
      <c r="X239" s="236"/>
      <c r="Y239" s="236"/>
      <c r="Z239" s="236"/>
    </row>
    <row r="240" spans="1:26" hidden="1" outlineLevel="2">
      <c r="A240" s="19"/>
      <c r="B240" s="74"/>
      <c r="C240" s="207"/>
      <c r="D240" s="208"/>
      <c r="E240" s="133"/>
      <c r="F240" s="261"/>
      <c r="G240" s="138"/>
      <c r="H240" s="135"/>
      <c r="I240" s="206"/>
      <c r="J240" s="206"/>
      <c r="K240" s="206"/>
      <c r="L240" s="137"/>
      <c r="M240" s="163"/>
      <c r="N240" s="163"/>
      <c r="O240" s="288"/>
      <c r="P240" s="290"/>
      <c r="Q240" s="236">
        <f t="shared" si="62"/>
        <v>0</v>
      </c>
      <c r="R240" s="236">
        <f t="shared" si="63"/>
        <v>0</v>
      </c>
      <c r="S240" s="236"/>
      <c r="T240" s="236"/>
      <c r="U240" s="236">
        <f t="shared" si="64"/>
        <v>0</v>
      </c>
      <c r="V240" s="236"/>
      <c r="W240" s="232">
        <f t="shared" si="65"/>
        <v>0</v>
      </c>
      <c r="X240" s="236"/>
      <c r="Y240" s="236"/>
      <c r="Z240" s="236"/>
    </row>
    <row r="241" spans="1:26" hidden="1" outlineLevel="2">
      <c r="A241" s="19"/>
      <c r="B241" s="74"/>
      <c r="C241" s="207"/>
      <c r="D241" s="208"/>
      <c r="E241" s="133"/>
      <c r="F241" s="261"/>
      <c r="G241" s="138"/>
      <c r="H241" s="135"/>
      <c r="I241" s="206"/>
      <c r="J241" s="206"/>
      <c r="K241" s="206"/>
      <c r="L241" s="137"/>
      <c r="M241" s="163"/>
      <c r="N241" s="163"/>
      <c r="O241" s="288"/>
      <c r="P241" s="290"/>
      <c r="Q241" s="236">
        <f t="shared" si="62"/>
        <v>0</v>
      </c>
      <c r="R241" s="236">
        <f t="shared" si="63"/>
        <v>0</v>
      </c>
      <c r="S241" s="236"/>
      <c r="T241" s="236"/>
      <c r="U241" s="236">
        <f t="shared" si="64"/>
        <v>0</v>
      </c>
      <c r="V241" s="236"/>
      <c r="W241" s="232">
        <f t="shared" si="65"/>
        <v>0</v>
      </c>
      <c r="X241" s="236"/>
      <c r="Y241" s="236"/>
      <c r="Z241" s="236"/>
    </row>
    <row r="242" spans="1:26" hidden="1" outlineLevel="2">
      <c r="A242" s="19"/>
      <c r="B242" s="74"/>
      <c r="C242" s="207"/>
      <c r="D242" s="208"/>
      <c r="E242" s="133"/>
      <c r="F242" s="261"/>
      <c r="G242" s="138"/>
      <c r="H242" s="135"/>
      <c r="I242" s="206"/>
      <c r="J242" s="206"/>
      <c r="K242" s="206"/>
      <c r="L242" s="137"/>
      <c r="M242" s="163"/>
      <c r="N242" s="163"/>
      <c r="O242" s="288"/>
      <c r="P242" s="290"/>
      <c r="Q242" s="236">
        <f t="shared" si="62"/>
        <v>0</v>
      </c>
      <c r="R242" s="236">
        <f t="shared" si="63"/>
        <v>0</v>
      </c>
      <c r="S242" s="236"/>
      <c r="T242" s="236"/>
      <c r="U242" s="236">
        <f t="shared" si="64"/>
        <v>0</v>
      </c>
      <c r="V242" s="236"/>
      <c r="W242" s="232">
        <f t="shared" si="65"/>
        <v>0</v>
      </c>
      <c r="X242" s="236"/>
      <c r="Y242" s="236"/>
      <c r="Z242" s="236"/>
    </row>
    <row r="243" spans="1:26" hidden="1" outlineLevel="2">
      <c r="A243" s="160"/>
      <c r="B243" s="74"/>
      <c r="C243" s="207"/>
      <c r="D243" s="208"/>
      <c r="E243" s="133"/>
      <c r="F243" s="261"/>
      <c r="G243" s="138"/>
      <c r="H243" s="139"/>
      <c r="I243" s="206"/>
      <c r="J243" s="206"/>
      <c r="K243" s="206"/>
      <c r="L243" s="137"/>
      <c r="M243" s="74"/>
      <c r="N243" s="74"/>
      <c r="O243" s="19"/>
      <c r="P243" s="290"/>
      <c r="Q243" s="236">
        <f t="shared" si="62"/>
        <v>0</v>
      </c>
      <c r="R243" s="236">
        <f t="shared" si="63"/>
        <v>0</v>
      </c>
      <c r="S243" s="235"/>
      <c r="T243" s="235"/>
      <c r="U243" s="236">
        <f t="shared" si="64"/>
        <v>0</v>
      </c>
      <c r="V243" s="235"/>
      <c r="W243" s="232">
        <f t="shared" si="65"/>
        <v>0</v>
      </c>
      <c r="X243" s="235"/>
      <c r="Y243" s="235"/>
      <c r="Z243" s="235"/>
    </row>
    <row r="244" spans="1:26" hidden="1" outlineLevel="2">
      <c r="A244" s="160"/>
      <c r="B244" s="74"/>
      <c r="C244" s="207"/>
      <c r="D244" s="208"/>
      <c r="E244" s="133"/>
      <c r="F244" s="261"/>
      <c r="G244" s="138"/>
      <c r="H244" s="139"/>
      <c r="I244" s="206"/>
      <c r="J244" s="206"/>
      <c r="K244" s="206"/>
      <c r="L244" s="137"/>
      <c r="M244" s="74"/>
      <c r="N244" s="19"/>
      <c r="O244" s="19"/>
      <c r="P244" s="290"/>
      <c r="Q244" s="236">
        <f t="shared" si="62"/>
        <v>0</v>
      </c>
      <c r="R244" s="236">
        <f t="shared" si="63"/>
        <v>0</v>
      </c>
      <c r="S244" s="235"/>
      <c r="T244" s="235"/>
      <c r="U244" s="236">
        <f t="shared" si="64"/>
        <v>0</v>
      </c>
      <c r="V244" s="235"/>
      <c r="W244" s="232">
        <f t="shared" si="65"/>
        <v>0</v>
      </c>
      <c r="X244" s="235"/>
      <c r="Y244" s="235"/>
      <c r="Z244" s="235"/>
    </row>
    <row r="245" spans="1:26" hidden="1" outlineLevel="2">
      <c r="A245" s="160"/>
      <c r="B245" s="74"/>
      <c r="C245" s="207"/>
      <c r="D245" s="208"/>
      <c r="E245" s="133"/>
      <c r="F245" s="261"/>
      <c r="G245" s="138"/>
      <c r="H245" s="139"/>
      <c r="I245" s="206"/>
      <c r="J245" s="206"/>
      <c r="K245" s="206"/>
      <c r="L245" s="137"/>
      <c r="M245" s="74"/>
      <c r="N245" s="19"/>
      <c r="O245" s="19"/>
      <c r="P245" s="290"/>
      <c r="Q245" s="236">
        <f t="shared" si="62"/>
        <v>0</v>
      </c>
      <c r="R245" s="236">
        <f>SUM(S245:T245)</f>
        <v>0</v>
      </c>
      <c r="S245" s="235"/>
      <c r="T245" s="235"/>
      <c r="U245" s="236">
        <f t="shared" si="64"/>
        <v>0</v>
      </c>
      <c r="V245" s="235"/>
      <c r="W245" s="232">
        <f t="shared" si="65"/>
        <v>0</v>
      </c>
      <c r="X245" s="235"/>
      <c r="Y245" s="235"/>
      <c r="Z245" s="235"/>
    </row>
    <row r="246" spans="1:26" hidden="1" outlineLevel="2">
      <c r="A246" s="164"/>
      <c r="B246" s="351"/>
      <c r="C246" s="227"/>
      <c r="D246" s="228"/>
      <c r="E246" s="165"/>
      <c r="F246" s="279"/>
      <c r="G246" s="166"/>
      <c r="H246" s="167"/>
      <c r="I246" s="229"/>
      <c r="J246" s="229"/>
      <c r="K246" s="229"/>
      <c r="L246" s="230"/>
      <c r="M246" s="351"/>
      <c r="N246" s="168"/>
      <c r="O246" s="168"/>
      <c r="P246" s="291"/>
      <c r="Q246" s="233"/>
      <c r="R246" s="233"/>
      <c r="S246" s="233"/>
      <c r="T246" s="233"/>
      <c r="U246" s="233"/>
      <c r="V246" s="233"/>
      <c r="W246" s="233"/>
      <c r="X246" s="233"/>
      <c r="Y246" s="233"/>
      <c r="Z246" s="233"/>
    </row>
    <row r="247" spans="1:26" s="75" customFormat="1" outlineLevel="1" collapsed="1">
      <c r="A247" s="237"/>
      <c r="B247" s="238"/>
      <c r="C247" s="239"/>
      <c r="D247" s="240"/>
      <c r="E247" s="241"/>
      <c r="F247" s="264"/>
      <c r="G247" s="242"/>
      <c r="H247" s="243"/>
      <c r="I247" s="244"/>
      <c r="J247" s="244"/>
      <c r="K247" s="244"/>
      <c r="L247" s="150" t="str">
        <f>CONCATENATE(L248," ",N248,M248," ",L249," ",N249,M249," "," ",L250," ",N250,M250," ",L251," ",N251,M251," ",L252," ",N252,M252," ",L253," ",N253,M253," ",L254," ",N254,M254," ",L255," ",N255,M255)</f>
        <v xml:space="preserve">                </v>
      </c>
      <c r="M247" s="243"/>
      <c r="N247" s="243"/>
      <c r="O247" s="287">
        <f>SUM(O248:O255)</f>
        <v>0</v>
      </c>
      <c r="P247" s="289"/>
      <c r="Q247" s="246">
        <f>SUM(Q248:Q255)</f>
        <v>0</v>
      </c>
      <c r="R247" s="246">
        <f t="shared" ref="R247:Y247" si="66">SUM(R248:R255)</f>
        <v>0</v>
      </c>
      <c r="S247" s="246">
        <f t="shared" si="66"/>
        <v>0</v>
      </c>
      <c r="T247" s="246">
        <f t="shared" si="66"/>
        <v>0</v>
      </c>
      <c r="U247" s="246">
        <f t="shared" si="66"/>
        <v>0</v>
      </c>
      <c r="V247" s="246">
        <f t="shared" si="66"/>
        <v>0</v>
      </c>
      <c r="W247" s="246">
        <f t="shared" si="66"/>
        <v>0</v>
      </c>
      <c r="X247" s="246">
        <f t="shared" si="66"/>
        <v>0</v>
      </c>
      <c r="Y247" s="246">
        <f t="shared" si="66"/>
        <v>0</v>
      </c>
      <c r="Z247" s="246">
        <f>SUM(Z248:Z255)</f>
        <v>0</v>
      </c>
    </row>
    <row r="248" spans="1:26" hidden="1" outlineLevel="2">
      <c r="A248" s="19"/>
      <c r="B248" s="74"/>
      <c r="C248" s="207"/>
      <c r="D248" s="208"/>
      <c r="E248" s="133"/>
      <c r="F248" s="261"/>
      <c r="G248" s="138"/>
      <c r="H248" s="135"/>
      <c r="I248" s="206"/>
      <c r="J248" s="206"/>
      <c r="K248" s="206"/>
      <c r="L248" s="137"/>
      <c r="M248" s="163"/>
      <c r="N248" s="163"/>
      <c r="O248" s="288"/>
      <c r="P248" s="290"/>
      <c r="Q248" s="236">
        <f>SUM(R248,U248)</f>
        <v>0</v>
      </c>
      <c r="R248" s="236">
        <f>SUM(S248:T248)</f>
        <v>0</v>
      </c>
      <c r="S248" s="236"/>
      <c r="T248" s="236"/>
      <c r="U248" s="236">
        <f>SUM(V248:Y248)</f>
        <v>0</v>
      </c>
      <c r="V248" s="236"/>
      <c r="W248" s="232">
        <f>V248*0.304</f>
        <v>0</v>
      </c>
      <c r="X248" s="236"/>
      <c r="Y248" s="236"/>
      <c r="Z248" s="236"/>
    </row>
    <row r="249" spans="1:26" hidden="1" outlineLevel="2">
      <c r="A249" s="19"/>
      <c r="B249" s="74"/>
      <c r="C249" s="207"/>
      <c r="D249" s="208"/>
      <c r="E249" s="133"/>
      <c r="F249" s="261"/>
      <c r="G249" s="138"/>
      <c r="H249" s="135"/>
      <c r="I249" s="206"/>
      <c r="J249" s="206"/>
      <c r="K249" s="206"/>
      <c r="L249" s="137"/>
      <c r="M249" s="163"/>
      <c r="N249" s="163"/>
      <c r="O249" s="288"/>
      <c r="P249" s="290"/>
      <c r="Q249" s="236">
        <f t="shared" ref="Q249:Q255" si="67">SUM(R249,U249)</f>
        <v>0</v>
      </c>
      <c r="R249" s="236">
        <f t="shared" ref="R249:R254" si="68">SUM(S249:T249)</f>
        <v>0</v>
      </c>
      <c r="S249" s="236"/>
      <c r="T249" s="236"/>
      <c r="U249" s="236">
        <f t="shared" ref="U249:U255" si="69">SUM(V249:Y249)</f>
        <v>0</v>
      </c>
      <c r="V249" s="236"/>
      <c r="W249" s="232">
        <f t="shared" ref="W249:W255" si="70">V249*0.304</f>
        <v>0</v>
      </c>
      <c r="X249" s="236"/>
      <c r="Y249" s="236"/>
      <c r="Z249" s="236"/>
    </row>
    <row r="250" spans="1:26" hidden="1" outlineLevel="2">
      <c r="A250" s="19"/>
      <c r="B250" s="74"/>
      <c r="C250" s="207"/>
      <c r="D250" s="208"/>
      <c r="E250" s="133"/>
      <c r="F250" s="261"/>
      <c r="G250" s="138"/>
      <c r="H250" s="135"/>
      <c r="I250" s="206"/>
      <c r="J250" s="206"/>
      <c r="K250" s="206"/>
      <c r="L250" s="137"/>
      <c r="M250" s="163"/>
      <c r="N250" s="163"/>
      <c r="O250" s="288"/>
      <c r="P250" s="290"/>
      <c r="Q250" s="236">
        <f t="shared" si="67"/>
        <v>0</v>
      </c>
      <c r="R250" s="236">
        <f t="shared" si="68"/>
        <v>0</v>
      </c>
      <c r="S250" s="236"/>
      <c r="T250" s="236"/>
      <c r="U250" s="236">
        <f t="shared" si="69"/>
        <v>0</v>
      </c>
      <c r="V250" s="236"/>
      <c r="W250" s="232">
        <f t="shared" si="70"/>
        <v>0</v>
      </c>
      <c r="X250" s="236"/>
      <c r="Y250" s="236"/>
      <c r="Z250" s="236"/>
    </row>
    <row r="251" spans="1:26" hidden="1" outlineLevel="2">
      <c r="A251" s="19"/>
      <c r="B251" s="74"/>
      <c r="C251" s="207"/>
      <c r="D251" s="208"/>
      <c r="E251" s="133"/>
      <c r="F251" s="261"/>
      <c r="G251" s="138"/>
      <c r="H251" s="135"/>
      <c r="I251" s="206"/>
      <c r="J251" s="206"/>
      <c r="K251" s="206"/>
      <c r="L251" s="137"/>
      <c r="M251" s="163"/>
      <c r="N251" s="163"/>
      <c r="O251" s="288"/>
      <c r="P251" s="290"/>
      <c r="Q251" s="236">
        <f t="shared" si="67"/>
        <v>0</v>
      </c>
      <c r="R251" s="236">
        <f t="shared" si="68"/>
        <v>0</v>
      </c>
      <c r="S251" s="236"/>
      <c r="T251" s="236"/>
      <c r="U251" s="236">
        <f t="shared" si="69"/>
        <v>0</v>
      </c>
      <c r="V251" s="236"/>
      <c r="W251" s="232">
        <f t="shared" si="70"/>
        <v>0</v>
      </c>
      <c r="X251" s="236"/>
      <c r="Y251" s="236"/>
      <c r="Z251" s="236"/>
    </row>
    <row r="252" spans="1:26" hidden="1" outlineLevel="2">
      <c r="A252" s="19"/>
      <c r="B252" s="74"/>
      <c r="C252" s="207"/>
      <c r="D252" s="208"/>
      <c r="E252" s="133"/>
      <c r="F252" s="261"/>
      <c r="G252" s="138"/>
      <c r="H252" s="135"/>
      <c r="I252" s="206"/>
      <c r="J252" s="206"/>
      <c r="K252" s="206"/>
      <c r="L252" s="137"/>
      <c r="M252" s="163"/>
      <c r="N252" s="163"/>
      <c r="O252" s="288"/>
      <c r="P252" s="290"/>
      <c r="Q252" s="236">
        <f t="shared" si="67"/>
        <v>0</v>
      </c>
      <c r="R252" s="236">
        <f t="shared" si="68"/>
        <v>0</v>
      </c>
      <c r="S252" s="236"/>
      <c r="T252" s="236"/>
      <c r="U252" s="236">
        <f t="shared" si="69"/>
        <v>0</v>
      </c>
      <c r="V252" s="236"/>
      <c r="W252" s="232">
        <f t="shared" si="70"/>
        <v>0</v>
      </c>
      <c r="X252" s="236"/>
      <c r="Y252" s="236"/>
      <c r="Z252" s="236"/>
    </row>
    <row r="253" spans="1:26" hidden="1" outlineLevel="2">
      <c r="A253" s="160"/>
      <c r="B253" s="74"/>
      <c r="C253" s="207"/>
      <c r="D253" s="208"/>
      <c r="E253" s="133"/>
      <c r="F253" s="261"/>
      <c r="G253" s="138"/>
      <c r="H253" s="139"/>
      <c r="I253" s="206"/>
      <c r="J253" s="206"/>
      <c r="K253" s="206"/>
      <c r="L253" s="137"/>
      <c r="M253" s="74"/>
      <c r="N253" s="74"/>
      <c r="O253" s="19"/>
      <c r="P253" s="290"/>
      <c r="Q253" s="236">
        <f t="shared" si="67"/>
        <v>0</v>
      </c>
      <c r="R253" s="236">
        <f t="shared" si="68"/>
        <v>0</v>
      </c>
      <c r="S253" s="235"/>
      <c r="T253" s="235"/>
      <c r="U253" s="236">
        <f t="shared" si="69"/>
        <v>0</v>
      </c>
      <c r="V253" s="235"/>
      <c r="W253" s="232">
        <f t="shared" si="70"/>
        <v>0</v>
      </c>
      <c r="X253" s="235"/>
      <c r="Y253" s="235"/>
      <c r="Z253" s="235"/>
    </row>
    <row r="254" spans="1:26" hidden="1" outlineLevel="2">
      <c r="A254" s="160"/>
      <c r="B254" s="74"/>
      <c r="C254" s="207"/>
      <c r="D254" s="208"/>
      <c r="E254" s="133"/>
      <c r="F254" s="261"/>
      <c r="G254" s="138"/>
      <c r="H254" s="139"/>
      <c r="I254" s="206"/>
      <c r="J254" s="206"/>
      <c r="K254" s="206"/>
      <c r="L254" s="137"/>
      <c r="M254" s="74"/>
      <c r="N254" s="19"/>
      <c r="O254" s="19"/>
      <c r="P254" s="290"/>
      <c r="Q254" s="236">
        <f t="shared" si="67"/>
        <v>0</v>
      </c>
      <c r="R254" s="236">
        <f t="shared" si="68"/>
        <v>0</v>
      </c>
      <c r="S254" s="235"/>
      <c r="T254" s="235"/>
      <c r="U254" s="236">
        <f t="shared" si="69"/>
        <v>0</v>
      </c>
      <c r="V254" s="235"/>
      <c r="W254" s="232">
        <f t="shared" si="70"/>
        <v>0</v>
      </c>
      <c r="X254" s="235"/>
      <c r="Y254" s="235"/>
      <c r="Z254" s="235"/>
    </row>
    <row r="255" spans="1:26" hidden="1" outlineLevel="2">
      <c r="A255" s="160"/>
      <c r="B255" s="74"/>
      <c r="C255" s="207"/>
      <c r="D255" s="208"/>
      <c r="E255" s="133"/>
      <c r="F255" s="261"/>
      <c r="G255" s="138"/>
      <c r="H255" s="139"/>
      <c r="I255" s="206"/>
      <c r="J255" s="206"/>
      <c r="K255" s="206"/>
      <c r="L255" s="137"/>
      <c r="M255" s="74"/>
      <c r="N255" s="19"/>
      <c r="O255" s="19"/>
      <c r="P255" s="290"/>
      <c r="Q255" s="236">
        <f t="shared" si="67"/>
        <v>0</v>
      </c>
      <c r="R255" s="236">
        <f>SUM(S255:T255)</f>
        <v>0</v>
      </c>
      <c r="S255" s="235"/>
      <c r="T255" s="235"/>
      <c r="U255" s="236">
        <f t="shared" si="69"/>
        <v>0</v>
      </c>
      <c r="V255" s="235"/>
      <c r="W255" s="232">
        <f t="shared" si="70"/>
        <v>0</v>
      </c>
      <c r="X255" s="235"/>
      <c r="Y255" s="235"/>
      <c r="Z255" s="235"/>
    </row>
    <row r="256" spans="1:26" hidden="1" outlineLevel="2">
      <c r="A256" s="164"/>
      <c r="B256" s="351"/>
      <c r="C256" s="227"/>
      <c r="D256" s="228"/>
      <c r="E256" s="165"/>
      <c r="F256" s="279"/>
      <c r="G256" s="166"/>
      <c r="H256" s="167"/>
      <c r="I256" s="229"/>
      <c r="J256" s="229"/>
      <c r="K256" s="229"/>
      <c r="L256" s="230"/>
      <c r="M256" s="351"/>
      <c r="N256" s="168"/>
      <c r="O256" s="168"/>
      <c r="P256" s="291"/>
      <c r="Q256" s="233"/>
      <c r="R256" s="233"/>
      <c r="S256" s="233"/>
      <c r="T256" s="233"/>
      <c r="U256" s="233"/>
      <c r="V256" s="233"/>
      <c r="W256" s="233"/>
      <c r="X256" s="233"/>
      <c r="Y256" s="233"/>
      <c r="Z256" s="233"/>
    </row>
    <row r="257" spans="1:26" s="75" customFormat="1" outlineLevel="1" collapsed="1">
      <c r="A257" s="237"/>
      <c r="B257" s="238"/>
      <c r="C257" s="239"/>
      <c r="D257" s="240"/>
      <c r="E257" s="241"/>
      <c r="F257" s="264"/>
      <c r="G257" s="242"/>
      <c r="H257" s="243"/>
      <c r="I257" s="244"/>
      <c r="J257" s="244"/>
      <c r="K257" s="244"/>
      <c r="L257" s="150" t="str">
        <f>CONCATENATE(L258," ",N258,M258," ",L259," ",N259,M259," "," ",L260," ",N260,M260," ",L261," ",N261,M261," ",L262," ",N262,M262," ",L263," ",N263,M263," ",L264," ",N264,M264," ",L265," ",N265,M265)</f>
        <v xml:space="preserve">                </v>
      </c>
      <c r="M257" s="243"/>
      <c r="N257" s="243"/>
      <c r="O257" s="287">
        <f>SUM(O258:O265)</f>
        <v>0</v>
      </c>
      <c r="P257" s="289"/>
      <c r="Q257" s="246">
        <f>SUM(Q258:Q265)</f>
        <v>0</v>
      </c>
      <c r="R257" s="246">
        <f t="shared" ref="R257:Y257" si="71">SUM(R258:R265)</f>
        <v>0</v>
      </c>
      <c r="S257" s="246">
        <f t="shared" si="71"/>
        <v>0</v>
      </c>
      <c r="T257" s="246">
        <f t="shared" si="71"/>
        <v>0</v>
      </c>
      <c r="U257" s="246">
        <f t="shared" si="71"/>
        <v>0</v>
      </c>
      <c r="V257" s="246">
        <f t="shared" si="71"/>
        <v>0</v>
      </c>
      <c r="W257" s="246">
        <f t="shared" si="71"/>
        <v>0</v>
      </c>
      <c r="X257" s="246">
        <f t="shared" si="71"/>
        <v>0</v>
      </c>
      <c r="Y257" s="246">
        <f t="shared" si="71"/>
        <v>0</v>
      </c>
      <c r="Z257" s="246">
        <f>SUM(Z258:Z265)</f>
        <v>0</v>
      </c>
    </row>
    <row r="258" spans="1:26" hidden="1" outlineLevel="2">
      <c r="A258" s="19"/>
      <c r="B258" s="74"/>
      <c r="C258" s="207"/>
      <c r="D258" s="208"/>
      <c r="E258" s="133"/>
      <c r="F258" s="261"/>
      <c r="G258" s="138"/>
      <c r="H258" s="135"/>
      <c r="I258" s="206"/>
      <c r="J258" s="206"/>
      <c r="K258" s="206"/>
      <c r="L258" s="137"/>
      <c r="M258" s="163"/>
      <c r="N258" s="163"/>
      <c r="O258" s="288"/>
      <c r="P258" s="290"/>
      <c r="Q258" s="236">
        <f>SUM(R258,U258)</f>
        <v>0</v>
      </c>
      <c r="R258" s="236">
        <f>SUM(S258:T258)</f>
        <v>0</v>
      </c>
      <c r="S258" s="236"/>
      <c r="T258" s="236"/>
      <c r="U258" s="236">
        <f>SUM(V258:Y258)</f>
        <v>0</v>
      </c>
      <c r="V258" s="236"/>
      <c r="W258" s="232">
        <f>V258*0.304</f>
        <v>0</v>
      </c>
      <c r="X258" s="236"/>
      <c r="Y258" s="236"/>
      <c r="Z258" s="236"/>
    </row>
    <row r="259" spans="1:26" hidden="1" outlineLevel="2">
      <c r="A259" s="19"/>
      <c r="B259" s="74"/>
      <c r="C259" s="207"/>
      <c r="D259" s="208"/>
      <c r="E259" s="133"/>
      <c r="F259" s="261"/>
      <c r="G259" s="138"/>
      <c r="H259" s="135"/>
      <c r="I259" s="206"/>
      <c r="J259" s="206"/>
      <c r="K259" s="206"/>
      <c r="L259" s="137"/>
      <c r="M259" s="163"/>
      <c r="N259" s="163"/>
      <c r="O259" s="288"/>
      <c r="P259" s="290"/>
      <c r="Q259" s="236">
        <f t="shared" ref="Q259:Q265" si="72">SUM(R259,U259)</f>
        <v>0</v>
      </c>
      <c r="R259" s="236">
        <f t="shared" ref="R259:R264" si="73">SUM(S259:T259)</f>
        <v>0</v>
      </c>
      <c r="S259" s="236"/>
      <c r="T259" s="236"/>
      <c r="U259" s="236">
        <f t="shared" ref="U259:U265" si="74">SUM(V259:Y259)</f>
        <v>0</v>
      </c>
      <c r="V259" s="236"/>
      <c r="W259" s="232">
        <f t="shared" ref="W259:W265" si="75">V259*0.304</f>
        <v>0</v>
      </c>
      <c r="X259" s="236"/>
      <c r="Y259" s="236"/>
      <c r="Z259" s="236"/>
    </row>
    <row r="260" spans="1:26" hidden="1" outlineLevel="2">
      <c r="A260" s="19"/>
      <c r="B260" s="74"/>
      <c r="C260" s="207"/>
      <c r="D260" s="208"/>
      <c r="E260" s="133"/>
      <c r="F260" s="261"/>
      <c r="G260" s="138"/>
      <c r="H260" s="135"/>
      <c r="I260" s="206"/>
      <c r="J260" s="206"/>
      <c r="K260" s="206"/>
      <c r="L260" s="137"/>
      <c r="M260" s="163"/>
      <c r="N260" s="163"/>
      <c r="O260" s="288"/>
      <c r="P260" s="290"/>
      <c r="Q260" s="236">
        <f t="shared" si="72"/>
        <v>0</v>
      </c>
      <c r="R260" s="236">
        <f t="shared" si="73"/>
        <v>0</v>
      </c>
      <c r="S260" s="236"/>
      <c r="T260" s="236"/>
      <c r="U260" s="236">
        <f t="shared" si="74"/>
        <v>0</v>
      </c>
      <c r="V260" s="236"/>
      <c r="W260" s="232">
        <f t="shared" si="75"/>
        <v>0</v>
      </c>
      <c r="X260" s="236"/>
      <c r="Y260" s="236"/>
      <c r="Z260" s="236"/>
    </row>
    <row r="261" spans="1:26" hidden="1" outlineLevel="2">
      <c r="A261" s="19"/>
      <c r="B261" s="74"/>
      <c r="C261" s="207"/>
      <c r="D261" s="208"/>
      <c r="E261" s="133"/>
      <c r="F261" s="261"/>
      <c r="G261" s="138"/>
      <c r="H261" s="135"/>
      <c r="I261" s="206"/>
      <c r="J261" s="206"/>
      <c r="K261" s="206"/>
      <c r="L261" s="137"/>
      <c r="M261" s="163"/>
      <c r="N261" s="163"/>
      <c r="O261" s="288"/>
      <c r="P261" s="290"/>
      <c r="Q261" s="236">
        <f t="shared" si="72"/>
        <v>0</v>
      </c>
      <c r="R261" s="236">
        <f t="shared" si="73"/>
        <v>0</v>
      </c>
      <c r="S261" s="236"/>
      <c r="T261" s="236"/>
      <c r="U261" s="236">
        <f t="shared" si="74"/>
        <v>0</v>
      </c>
      <c r="V261" s="236"/>
      <c r="W261" s="232">
        <f t="shared" si="75"/>
        <v>0</v>
      </c>
      <c r="X261" s="236"/>
      <c r="Y261" s="236"/>
      <c r="Z261" s="236"/>
    </row>
    <row r="262" spans="1:26" hidden="1" outlineLevel="2">
      <c r="A262" s="19"/>
      <c r="B262" s="74"/>
      <c r="C262" s="207"/>
      <c r="D262" s="208"/>
      <c r="E262" s="133"/>
      <c r="F262" s="261"/>
      <c r="G262" s="138"/>
      <c r="H262" s="135"/>
      <c r="I262" s="206"/>
      <c r="J262" s="206"/>
      <c r="K262" s="206"/>
      <c r="L262" s="137"/>
      <c r="M262" s="163"/>
      <c r="N262" s="163"/>
      <c r="O262" s="288"/>
      <c r="P262" s="290"/>
      <c r="Q262" s="236">
        <f t="shared" si="72"/>
        <v>0</v>
      </c>
      <c r="R262" s="236">
        <f t="shared" si="73"/>
        <v>0</v>
      </c>
      <c r="S262" s="236"/>
      <c r="T262" s="236"/>
      <c r="U262" s="236">
        <f t="shared" si="74"/>
        <v>0</v>
      </c>
      <c r="V262" s="236"/>
      <c r="W262" s="232">
        <f t="shared" si="75"/>
        <v>0</v>
      </c>
      <c r="X262" s="236"/>
      <c r="Y262" s="236"/>
      <c r="Z262" s="236"/>
    </row>
    <row r="263" spans="1:26" hidden="1" outlineLevel="2">
      <c r="A263" s="160"/>
      <c r="B263" s="74"/>
      <c r="C263" s="207"/>
      <c r="D263" s="208"/>
      <c r="E263" s="133"/>
      <c r="F263" s="261"/>
      <c r="G263" s="138"/>
      <c r="H263" s="139"/>
      <c r="I263" s="206"/>
      <c r="J263" s="206"/>
      <c r="K263" s="206"/>
      <c r="L263" s="137"/>
      <c r="M263" s="74"/>
      <c r="N263" s="74"/>
      <c r="O263" s="19"/>
      <c r="P263" s="290"/>
      <c r="Q263" s="236">
        <f t="shared" si="72"/>
        <v>0</v>
      </c>
      <c r="R263" s="236">
        <f t="shared" si="73"/>
        <v>0</v>
      </c>
      <c r="S263" s="235"/>
      <c r="T263" s="235"/>
      <c r="U263" s="236">
        <f t="shared" si="74"/>
        <v>0</v>
      </c>
      <c r="V263" s="235"/>
      <c r="W263" s="232">
        <f t="shared" si="75"/>
        <v>0</v>
      </c>
      <c r="X263" s="235"/>
      <c r="Y263" s="235"/>
      <c r="Z263" s="235"/>
    </row>
    <row r="264" spans="1:26" hidden="1" outlineLevel="2">
      <c r="A264" s="160"/>
      <c r="B264" s="74"/>
      <c r="C264" s="207"/>
      <c r="D264" s="208"/>
      <c r="E264" s="133"/>
      <c r="F264" s="261"/>
      <c r="G264" s="138"/>
      <c r="H264" s="139"/>
      <c r="I264" s="206"/>
      <c r="J264" s="206"/>
      <c r="K264" s="206"/>
      <c r="L264" s="137"/>
      <c r="M264" s="74"/>
      <c r="N264" s="19"/>
      <c r="O264" s="19"/>
      <c r="P264" s="290"/>
      <c r="Q264" s="236">
        <f t="shared" si="72"/>
        <v>0</v>
      </c>
      <c r="R264" s="236">
        <f t="shared" si="73"/>
        <v>0</v>
      </c>
      <c r="S264" s="235"/>
      <c r="T264" s="235"/>
      <c r="U264" s="236">
        <f t="shared" si="74"/>
        <v>0</v>
      </c>
      <c r="V264" s="235"/>
      <c r="W264" s="232">
        <f t="shared" si="75"/>
        <v>0</v>
      </c>
      <c r="X264" s="235"/>
      <c r="Y264" s="235"/>
      <c r="Z264" s="235"/>
    </row>
    <row r="265" spans="1:26" hidden="1" outlineLevel="2">
      <c r="A265" s="160"/>
      <c r="B265" s="74"/>
      <c r="C265" s="207"/>
      <c r="D265" s="208"/>
      <c r="E265" s="133"/>
      <c r="F265" s="261"/>
      <c r="G265" s="138"/>
      <c r="H265" s="139"/>
      <c r="I265" s="206"/>
      <c r="J265" s="206"/>
      <c r="K265" s="206"/>
      <c r="L265" s="137"/>
      <c r="M265" s="74"/>
      <c r="N265" s="19"/>
      <c r="O265" s="19"/>
      <c r="P265" s="290"/>
      <c r="Q265" s="236">
        <f t="shared" si="72"/>
        <v>0</v>
      </c>
      <c r="R265" s="236">
        <f>SUM(S265:T265)</f>
        <v>0</v>
      </c>
      <c r="S265" s="235"/>
      <c r="T265" s="235"/>
      <c r="U265" s="236">
        <f t="shared" si="74"/>
        <v>0</v>
      </c>
      <c r="V265" s="235"/>
      <c r="W265" s="232">
        <f t="shared" si="75"/>
        <v>0</v>
      </c>
      <c r="X265" s="235"/>
      <c r="Y265" s="235"/>
      <c r="Z265" s="235"/>
    </row>
    <row r="266" spans="1:26" hidden="1" outlineLevel="2">
      <c r="A266" s="164"/>
      <c r="B266" s="351"/>
      <c r="C266" s="227"/>
      <c r="D266" s="228"/>
      <c r="E266" s="165"/>
      <c r="F266" s="279"/>
      <c r="G266" s="166"/>
      <c r="H266" s="167"/>
      <c r="I266" s="229"/>
      <c r="J266" s="229"/>
      <c r="K266" s="229"/>
      <c r="L266" s="230"/>
      <c r="M266" s="351"/>
      <c r="N266" s="168"/>
      <c r="O266" s="168"/>
      <c r="P266" s="291"/>
      <c r="Q266" s="233"/>
      <c r="R266" s="233"/>
      <c r="S266" s="233"/>
      <c r="T266" s="233"/>
      <c r="U266" s="233"/>
      <c r="V266" s="233"/>
      <c r="W266" s="233"/>
      <c r="X266" s="233"/>
      <c r="Y266" s="233"/>
      <c r="Z266" s="233"/>
    </row>
    <row r="267" spans="1:26" s="75" customFormat="1" outlineLevel="1" collapsed="1">
      <c r="A267" s="237"/>
      <c r="B267" s="238"/>
      <c r="C267" s="239"/>
      <c r="D267" s="240"/>
      <c r="E267" s="241"/>
      <c r="F267" s="264"/>
      <c r="G267" s="242"/>
      <c r="H267" s="243"/>
      <c r="I267" s="244"/>
      <c r="J267" s="244"/>
      <c r="K267" s="244"/>
      <c r="L267" s="150" t="str">
        <f>CONCATENATE(L268," ",N268,M268," ",L269," ",N269,M269," "," ",L270," ",N270,M270," ",L271," ",N271,M271," ",L272," ",N272,M272," ",L273," ",N273,M273," ",L274," ",N274,M274," ",L275," ",N275,M275)</f>
        <v xml:space="preserve">                </v>
      </c>
      <c r="M267" s="243"/>
      <c r="N267" s="243"/>
      <c r="O267" s="287">
        <f>SUM(O268:O275)</f>
        <v>0</v>
      </c>
      <c r="P267" s="289"/>
      <c r="Q267" s="246">
        <f>SUM(Q268:Q275)</f>
        <v>0</v>
      </c>
      <c r="R267" s="246">
        <f t="shared" ref="R267:Y267" si="76">SUM(R268:R275)</f>
        <v>0</v>
      </c>
      <c r="S267" s="246">
        <f t="shared" si="76"/>
        <v>0</v>
      </c>
      <c r="T267" s="246">
        <f t="shared" si="76"/>
        <v>0</v>
      </c>
      <c r="U267" s="246">
        <f t="shared" si="76"/>
        <v>0</v>
      </c>
      <c r="V267" s="246">
        <f t="shared" si="76"/>
        <v>0</v>
      </c>
      <c r="W267" s="246">
        <f t="shared" si="76"/>
        <v>0</v>
      </c>
      <c r="X267" s="246">
        <f t="shared" si="76"/>
        <v>0</v>
      </c>
      <c r="Y267" s="246">
        <f t="shared" si="76"/>
        <v>0</v>
      </c>
      <c r="Z267" s="246">
        <f>SUM(Z268:Z275)</f>
        <v>0</v>
      </c>
    </row>
    <row r="268" spans="1:26" hidden="1" outlineLevel="2">
      <c r="A268" s="19"/>
      <c r="B268" s="74"/>
      <c r="C268" s="207"/>
      <c r="D268" s="208"/>
      <c r="E268" s="133"/>
      <c r="F268" s="261"/>
      <c r="G268" s="138"/>
      <c r="H268" s="135"/>
      <c r="I268" s="206"/>
      <c r="J268" s="206"/>
      <c r="K268" s="206"/>
      <c r="L268" s="137"/>
      <c r="M268" s="163"/>
      <c r="N268" s="163"/>
      <c r="O268" s="163"/>
      <c r="P268" s="205"/>
      <c r="Q268" s="236">
        <f>SUM(R268,U268)</f>
        <v>0</v>
      </c>
      <c r="R268" s="236">
        <f>SUM(S268:T268)</f>
        <v>0</v>
      </c>
      <c r="S268" s="236"/>
      <c r="T268" s="236"/>
      <c r="U268" s="236">
        <f>SUM(V268:Y268)</f>
        <v>0</v>
      </c>
      <c r="V268" s="236"/>
      <c r="W268" s="232">
        <f>V268*0.304</f>
        <v>0</v>
      </c>
      <c r="X268" s="236"/>
      <c r="Y268" s="236"/>
      <c r="Z268" s="236"/>
    </row>
    <row r="269" spans="1:26" hidden="1" outlineLevel="2">
      <c r="A269" s="19"/>
      <c r="B269" s="74"/>
      <c r="C269" s="207"/>
      <c r="D269" s="208"/>
      <c r="E269" s="133"/>
      <c r="F269" s="261"/>
      <c r="G269" s="138"/>
      <c r="H269" s="135"/>
      <c r="I269" s="206"/>
      <c r="J269" s="206"/>
      <c r="K269" s="206"/>
      <c r="L269" s="137"/>
      <c r="M269" s="163"/>
      <c r="N269" s="163"/>
      <c r="O269" s="163"/>
      <c r="P269" s="205"/>
      <c r="Q269" s="236">
        <f t="shared" ref="Q269:Q275" si="77">SUM(R269,U269)</f>
        <v>0</v>
      </c>
      <c r="R269" s="236">
        <f t="shared" ref="R269:R274" si="78">SUM(S269:T269)</f>
        <v>0</v>
      </c>
      <c r="S269" s="236"/>
      <c r="T269" s="236"/>
      <c r="U269" s="236">
        <f t="shared" ref="U269:U275" si="79">SUM(V269:Y269)</f>
        <v>0</v>
      </c>
      <c r="V269" s="236"/>
      <c r="W269" s="232">
        <f t="shared" ref="W269:W275" si="80">V269*0.304</f>
        <v>0</v>
      </c>
      <c r="X269" s="236"/>
      <c r="Y269" s="236"/>
      <c r="Z269" s="236"/>
    </row>
    <row r="270" spans="1:26" hidden="1" outlineLevel="2">
      <c r="A270" s="19"/>
      <c r="B270" s="74"/>
      <c r="C270" s="207"/>
      <c r="D270" s="208"/>
      <c r="E270" s="133"/>
      <c r="F270" s="261"/>
      <c r="G270" s="138"/>
      <c r="H270" s="135"/>
      <c r="I270" s="206"/>
      <c r="J270" s="206"/>
      <c r="K270" s="206"/>
      <c r="L270" s="137"/>
      <c r="M270" s="163"/>
      <c r="N270" s="163"/>
      <c r="O270" s="163"/>
      <c r="P270" s="205"/>
      <c r="Q270" s="236">
        <f t="shared" si="77"/>
        <v>0</v>
      </c>
      <c r="R270" s="236">
        <f t="shared" si="78"/>
        <v>0</v>
      </c>
      <c r="S270" s="236"/>
      <c r="T270" s="236"/>
      <c r="U270" s="236">
        <f t="shared" si="79"/>
        <v>0</v>
      </c>
      <c r="V270" s="236"/>
      <c r="W270" s="232">
        <f t="shared" si="80"/>
        <v>0</v>
      </c>
      <c r="X270" s="236"/>
      <c r="Y270" s="236"/>
      <c r="Z270" s="236"/>
    </row>
    <row r="271" spans="1:26" hidden="1" outlineLevel="2">
      <c r="A271" s="19"/>
      <c r="B271" s="74"/>
      <c r="C271" s="207"/>
      <c r="D271" s="208"/>
      <c r="E271" s="133"/>
      <c r="F271" s="261"/>
      <c r="G271" s="138"/>
      <c r="H271" s="135"/>
      <c r="I271" s="206"/>
      <c r="J271" s="206"/>
      <c r="K271" s="206"/>
      <c r="L271" s="137"/>
      <c r="M271" s="163"/>
      <c r="N271" s="163"/>
      <c r="O271" s="163"/>
      <c r="P271" s="205"/>
      <c r="Q271" s="236">
        <f t="shared" si="77"/>
        <v>0</v>
      </c>
      <c r="R271" s="236">
        <f t="shared" si="78"/>
        <v>0</v>
      </c>
      <c r="S271" s="236"/>
      <c r="T271" s="236"/>
      <c r="U271" s="236">
        <f t="shared" si="79"/>
        <v>0</v>
      </c>
      <c r="V271" s="236"/>
      <c r="W271" s="232">
        <f t="shared" si="80"/>
        <v>0</v>
      </c>
      <c r="X271" s="236"/>
      <c r="Y271" s="236"/>
      <c r="Z271" s="236"/>
    </row>
    <row r="272" spans="1:26" hidden="1" outlineLevel="2">
      <c r="A272" s="19"/>
      <c r="B272" s="74"/>
      <c r="C272" s="207"/>
      <c r="D272" s="208"/>
      <c r="E272" s="133"/>
      <c r="F272" s="261"/>
      <c r="G272" s="138"/>
      <c r="H272" s="135"/>
      <c r="I272" s="206"/>
      <c r="J272" s="206"/>
      <c r="K272" s="206"/>
      <c r="L272" s="137"/>
      <c r="M272" s="163"/>
      <c r="N272" s="163"/>
      <c r="O272" s="163"/>
      <c r="P272" s="205"/>
      <c r="Q272" s="236">
        <f t="shared" si="77"/>
        <v>0</v>
      </c>
      <c r="R272" s="236">
        <f t="shared" si="78"/>
        <v>0</v>
      </c>
      <c r="S272" s="236"/>
      <c r="T272" s="236"/>
      <c r="U272" s="236">
        <f t="shared" si="79"/>
        <v>0</v>
      </c>
      <c r="V272" s="236"/>
      <c r="W272" s="232">
        <f t="shared" si="80"/>
        <v>0</v>
      </c>
      <c r="X272" s="236"/>
      <c r="Y272" s="236"/>
      <c r="Z272" s="236"/>
    </row>
    <row r="273" spans="1:26" hidden="1" outlineLevel="2">
      <c r="A273" s="160"/>
      <c r="B273" s="74"/>
      <c r="C273" s="207"/>
      <c r="D273" s="208"/>
      <c r="E273" s="133"/>
      <c r="F273" s="261"/>
      <c r="G273" s="138"/>
      <c r="H273" s="139"/>
      <c r="I273" s="206"/>
      <c r="J273" s="206"/>
      <c r="K273" s="206"/>
      <c r="L273" s="137"/>
      <c r="M273" s="74"/>
      <c r="N273" s="74"/>
      <c r="O273" s="234"/>
      <c r="P273" s="205"/>
      <c r="Q273" s="236">
        <f t="shared" si="77"/>
        <v>0</v>
      </c>
      <c r="R273" s="236">
        <f t="shared" si="78"/>
        <v>0</v>
      </c>
      <c r="S273" s="235"/>
      <c r="T273" s="235"/>
      <c r="U273" s="236">
        <f t="shared" si="79"/>
        <v>0</v>
      </c>
      <c r="V273" s="235"/>
      <c r="W273" s="232">
        <f t="shared" si="80"/>
        <v>0</v>
      </c>
      <c r="X273" s="235"/>
      <c r="Y273" s="235"/>
      <c r="Z273" s="235"/>
    </row>
    <row r="274" spans="1:26" hidden="1" outlineLevel="2">
      <c r="A274" s="160"/>
      <c r="B274" s="74"/>
      <c r="C274" s="207"/>
      <c r="D274" s="208"/>
      <c r="E274" s="133"/>
      <c r="F274" s="261"/>
      <c r="G274" s="138"/>
      <c r="H274" s="139"/>
      <c r="I274" s="206"/>
      <c r="J274" s="206"/>
      <c r="K274" s="206"/>
      <c r="L274" s="137"/>
      <c r="M274" s="74"/>
      <c r="N274" s="19"/>
      <c r="O274" s="234"/>
      <c r="P274" s="205"/>
      <c r="Q274" s="236">
        <f t="shared" si="77"/>
        <v>0</v>
      </c>
      <c r="R274" s="236">
        <f t="shared" si="78"/>
        <v>0</v>
      </c>
      <c r="S274" s="235"/>
      <c r="T274" s="235"/>
      <c r="U274" s="236">
        <f t="shared" si="79"/>
        <v>0</v>
      </c>
      <c r="V274" s="235"/>
      <c r="W274" s="232">
        <f t="shared" si="80"/>
        <v>0</v>
      </c>
      <c r="X274" s="235"/>
      <c r="Y274" s="235"/>
      <c r="Z274" s="235"/>
    </row>
    <row r="275" spans="1:26" hidden="1" outlineLevel="2">
      <c r="A275" s="160"/>
      <c r="B275" s="74"/>
      <c r="C275" s="207"/>
      <c r="D275" s="208"/>
      <c r="E275" s="133"/>
      <c r="F275" s="261"/>
      <c r="G275" s="138"/>
      <c r="H275" s="139"/>
      <c r="I275" s="206"/>
      <c r="J275" s="206"/>
      <c r="K275" s="206"/>
      <c r="L275" s="137"/>
      <c r="M275" s="74"/>
      <c r="N275" s="19"/>
      <c r="O275" s="234"/>
      <c r="P275" s="205"/>
      <c r="Q275" s="236">
        <f t="shared" si="77"/>
        <v>0</v>
      </c>
      <c r="R275" s="236">
        <f>SUM(S275:T275)</f>
        <v>0</v>
      </c>
      <c r="S275" s="235"/>
      <c r="T275" s="235"/>
      <c r="U275" s="236">
        <f t="shared" si="79"/>
        <v>0</v>
      </c>
      <c r="V275" s="235"/>
      <c r="W275" s="232">
        <f t="shared" si="80"/>
        <v>0</v>
      </c>
      <c r="X275" s="235"/>
      <c r="Y275" s="235"/>
      <c r="Z275" s="235"/>
    </row>
    <row r="276" spans="1:26" hidden="1" outlineLevel="2">
      <c r="A276" s="160"/>
      <c r="B276" s="74"/>
      <c r="C276" s="207"/>
      <c r="D276" s="208"/>
      <c r="E276" s="133"/>
      <c r="F276" s="261"/>
      <c r="G276" s="138"/>
      <c r="H276" s="139"/>
      <c r="I276" s="206"/>
      <c r="J276" s="206"/>
      <c r="K276" s="206"/>
      <c r="L276" s="137"/>
      <c r="M276" s="74"/>
      <c r="N276" s="19"/>
      <c r="O276" s="234"/>
      <c r="P276" s="205"/>
      <c r="Q276" s="235"/>
      <c r="R276" s="235"/>
      <c r="S276" s="235"/>
      <c r="T276" s="235"/>
      <c r="U276" s="235"/>
      <c r="V276" s="235"/>
      <c r="W276" s="235"/>
      <c r="X276" s="235"/>
      <c r="Y276" s="235"/>
      <c r="Z276" s="235"/>
    </row>
    <row r="277" spans="1:26" ht="15.75" outlineLevel="1" thickBot="1">
      <c r="A277" s="296"/>
      <c r="B277" s="297"/>
      <c r="C277" s="298"/>
      <c r="D277" s="299"/>
      <c r="E277" s="300"/>
      <c r="F277" s="301"/>
      <c r="G277" s="302"/>
      <c r="H277" s="303"/>
      <c r="I277" s="304"/>
      <c r="J277" s="304"/>
      <c r="K277" s="304"/>
      <c r="L277" s="305"/>
      <c r="M277" s="297"/>
      <c r="N277" s="306"/>
      <c r="O277" s="307"/>
      <c r="P277" s="308"/>
      <c r="Q277" s="309"/>
      <c r="R277" s="309"/>
      <c r="S277" s="309"/>
      <c r="T277" s="309"/>
      <c r="U277" s="309"/>
      <c r="V277" s="309"/>
      <c r="W277" s="309"/>
      <c r="X277" s="309"/>
      <c r="Y277" s="309"/>
      <c r="Z277" s="309"/>
    </row>
    <row r="278" spans="1:26" ht="19.5" thickBot="1">
      <c r="A278" s="621" t="s">
        <v>71</v>
      </c>
      <c r="B278" s="622"/>
      <c r="C278" s="622"/>
      <c r="D278" s="622"/>
      <c r="E278" s="56" t="s">
        <v>74</v>
      </c>
      <c r="F278" s="278"/>
      <c r="G278" s="57"/>
      <c r="H278" s="58"/>
      <c r="I278" s="68"/>
      <c r="J278" s="68"/>
      <c r="K278" s="68"/>
      <c r="L278" s="59"/>
      <c r="M278" s="58"/>
      <c r="N278" s="58"/>
      <c r="O278" s="61">
        <v>0</v>
      </c>
      <c r="P278" s="61"/>
      <c r="Q278" s="61">
        <v>0</v>
      </c>
      <c r="R278" s="61">
        <v>0</v>
      </c>
      <c r="S278" s="61">
        <v>0</v>
      </c>
      <c r="T278" s="61">
        <v>0</v>
      </c>
      <c r="U278" s="61">
        <v>0</v>
      </c>
      <c r="V278" s="61">
        <v>0</v>
      </c>
      <c r="W278" s="61">
        <v>0</v>
      </c>
      <c r="X278" s="61">
        <v>0</v>
      </c>
      <c r="Y278" s="61">
        <v>0</v>
      </c>
      <c r="Z278" s="310">
        <v>0</v>
      </c>
    </row>
    <row r="279" spans="1:26" s="75" customFormat="1" ht="45" outlineLevel="1" collapsed="1">
      <c r="A279" s="237"/>
      <c r="B279" s="238" t="s">
        <v>288</v>
      </c>
      <c r="C279" s="239" t="s">
        <v>47</v>
      </c>
      <c r="D279" s="240" t="s">
        <v>238</v>
      </c>
      <c r="E279" s="241"/>
      <c r="F279" s="264" t="s">
        <v>292</v>
      </c>
      <c r="G279" s="242"/>
      <c r="H279" s="243"/>
      <c r="I279" s="244" t="s">
        <v>48</v>
      </c>
      <c r="J279" s="244"/>
      <c r="K279" s="244"/>
      <c r="L279" s="150" t="str">
        <f>CONCATENATE(L280," ",N280,M280," ",L281," ",N281,M281," "," ",L282," ",N282,M282," ",L283," ",N283,M283," ",L284," ",N284,M284," ",L285," ",N285,M285," ",L286," ",N286,M286," ",L287," ",N287,M287)</f>
        <v xml:space="preserve">Бурение скважин, установка приставок 56шт. Монтаж опор 23шт.  Демонтаж опор 23шт. Замена фарфоровых /стеклянных/ изоляторов на полимерные 18шт.        </v>
      </c>
      <c r="M279" s="243"/>
      <c r="N279" s="243"/>
      <c r="O279" s="287">
        <f>SUM(O280:O287)</f>
        <v>0</v>
      </c>
      <c r="P279" s="289" t="s">
        <v>46</v>
      </c>
      <c r="Q279" s="246">
        <f>SUM(Q280:Q287)</f>
        <v>0</v>
      </c>
      <c r="R279" s="246">
        <f t="shared" ref="R279:Y279" si="81">SUM(R280:R287)</f>
        <v>0</v>
      </c>
      <c r="S279" s="246">
        <f t="shared" si="81"/>
        <v>0</v>
      </c>
      <c r="T279" s="246">
        <f t="shared" si="81"/>
        <v>0</v>
      </c>
      <c r="U279" s="246">
        <f t="shared" si="81"/>
        <v>0</v>
      </c>
      <c r="V279" s="246">
        <f t="shared" si="81"/>
        <v>0</v>
      </c>
      <c r="W279" s="246">
        <f t="shared" si="81"/>
        <v>0</v>
      </c>
      <c r="X279" s="246">
        <f t="shared" si="81"/>
        <v>0</v>
      </c>
      <c r="Y279" s="246">
        <f t="shared" si="81"/>
        <v>0</v>
      </c>
      <c r="Z279" s="246">
        <f>SUM(Z280:Z287)</f>
        <v>0</v>
      </c>
    </row>
    <row r="280" spans="1:26" ht="56.25" hidden="1" outlineLevel="2">
      <c r="A280" s="19"/>
      <c r="B280" s="74" t="s">
        <v>288</v>
      </c>
      <c r="C280" s="207" t="s">
        <v>47</v>
      </c>
      <c r="D280" s="208" t="s">
        <v>238</v>
      </c>
      <c r="E280" s="133"/>
      <c r="F280" s="262" t="s">
        <v>289</v>
      </c>
      <c r="G280" s="138"/>
      <c r="H280" s="135"/>
      <c r="I280" s="206" t="s">
        <v>48</v>
      </c>
      <c r="J280" s="206"/>
      <c r="K280" s="206"/>
      <c r="L280" s="137" t="s">
        <v>241</v>
      </c>
      <c r="M280" s="163" t="s">
        <v>37</v>
      </c>
      <c r="N280" s="163">
        <v>56</v>
      </c>
      <c r="O280" s="288"/>
      <c r="P280" s="290" t="s">
        <v>46</v>
      </c>
      <c r="Q280" s="236">
        <f>SUM(R280,U280)</f>
        <v>0</v>
      </c>
      <c r="R280" s="236">
        <f>SUM(S280:T280)</f>
        <v>0</v>
      </c>
      <c r="S280" s="236"/>
      <c r="T280" s="236"/>
      <c r="U280" s="236">
        <f>SUM(V280:Y280)</f>
        <v>0</v>
      </c>
      <c r="V280" s="236"/>
      <c r="W280" s="232">
        <f>V280*0.304</f>
        <v>0</v>
      </c>
      <c r="X280" s="236"/>
      <c r="Y280" s="236"/>
      <c r="Z280" s="236"/>
    </row>
    <row r="281" spans="1:26" ht="17.25" hidden="1" customHeight="1" outlineLevel="2">
      <c r="A281" s="623"/>
      <c r="B281" s="625" t="s">
        <v>288</v>
      </c>
      <c r="C281" s="627" t="s">
        <v>47</v>
      </c>
      <c r="D281" s="629" t="s">
        <v>238</v>
      </c>
      <c r="E281" s="631"/>
      <c r="F281" s="613" t="s">
        <v>290</v>
      </c>
      <c r="G281" s="615"/>
      <c r="H281" s="617"/>
      <c r="I281" s="619" t="s">
        <v>48</v>
      </c>
      <c r="J281" s="619"/>
      <c r="K281" s="619"/>
      <c r="L281" s="137" t="s">
        <v>113</v>
      </c>
      <c r="M281" s="163" t="s">
        <v>37</v>
      </c>
      <c r="N281" s="163">
        <v>23</v>
      </c>
      <c r="O281" s="635"/>
      <c r="P281" s="637" t="s">
        <v>46</v>
      </c>
      <c r="Q281" s="633">
        <f t="shared" ref="Q281:Q287" si="82">SUM(R281,U281)</f>
        <v>0</v>
      </c>
      <c r="R281" s="633">
        <f t="shared" ref="R281:R286" si="83">SUM(S281:T281)</f>
        <v>0</v>
      </c>
      <c r="S281" s="633"/>
      <c r="T281" s="633"/>
      <c r="U281" s="633">
        <f t="shared" ref="U281:U287" si="84">SUM(V281:Y281)</f>
        <v>0</v>
      </c>
      <c r="V281" s="633"/>
      <c r="W281" s="633">
        <f t="shared" ref="W281:W287" si="85">V281*0.304</f>
        <v>0</v>
      </c>
      <c r="X281" s="633"/>
      <c r="Y281" s="633"/>
      <c r="Z281" s="633"/>
    </row>
    <row r="282" spans="1:26" hidden="1" outlineLevel="2">
      <c r="A282" s="624"/>
      <c r="B282" s="626"/>
      <c r="C282" s="628"/>
      <c r="D282" s="630"/>
      <c r="E282" s="632"/>
      <c r="F282" s="614"/>
      <c r="G282" s="616"/>
      <c r="H282" s="618"/>
      <c r="I282" s="620"/>
      <c r="J282" s="620"/>
      <c r="K282" s="620"/>
      <c r="L282" s="137" t="s">
        <v>112</v>
      </c>
      <c r="M282" s="74" t="s">
        <v>37</v>
      </c>
      <c r="N282" s="74">
        <v>23</v>
      </c>
      <c r="O282" s="636"/>
      <c r="P282" s="638" t="s">
        <v>46</v>
      </c>
      <c r="Q282" s="634">
        <f t="shared" si="82"/>
        <v>0</v>
      </c>
      <c r="R282" s="634">
        <f t="shared" si="83"/>
        <v>0</v>
      </c>
      <c r="S282" s="634"/>
      <c r="T282" s="634"/>
      <c r="U282" s="634">
        <f t="shared" si="84"/>
        <v>0</v>
      </c>
      <c r="V282" s="634"/>
      <c r="W282" s="634">
        <f t="shared" si="85"/>
        <v>0</v>
      </c>
      <c r="X282" s="634"/>
      <c r="Y282" s="634"/>
      <c r="Z282" s="634"/>
    </row>
    <row r="283" spans="1:26" ht="22.5" hidden="1" outlineLevel="2">
      <c r="A283" s="19"/>
      <c r="B283" s="74" t="s">
        <v>288</v>
      </c>
      <c r="C283" s="207" t="s">
        <v>47</v>
      </c>
      <c r="D283" s="208" t="s">
        <v>238</v>
      </c>
      <c r="E283" s="133"/>
      <c r="F283" s="262" t="s">
        <v>291</v>
      </c>
      <c r="G283" s="138"/>
      <c r="H283" s="135"/>
      <c r="I283" s="206" t="s">
        <v>48</v>
      </c>
      <c r="J283" s="206"/>
      <c r="K283" s="206"/>
      <c r="L283" s="137" t="s">
        <v>179</v>
      </c>
      <c r="M283" s="163" t="s">
        <v>37</v>
      </c>
      <c r="N283" s="163">
        <v>18</v>
      </c>
      <c r="O283" s="288"/>
      <c r="P283" s="290" t="s">
        <v>46</v>
      </c>
      <c r="Q283" s="236">
        <f t="shared" si="82"/>
        <v>0</v>
      </c>
      <c r="R283" s="236">
        <f t="shared" si="83"/>
        <v>0</v>
      </c>
      <c r="S283" s="236"/>
      <c r="T283" s="236"/>
      <c r="U283" s="236">
        <f t="shared" si="84"/>
        <v>0</v>
      </c>
      <c r="V283" s="236"/>
      <c r="W283" s="232">
        <f t="shared" si="85"/>
        <v>0</v>
      </c>
      <c r="X283" s="236"/>
      <c r="Y283" s="236"/>
      <c r="Z283" s="236"/>
    </row>
    <row r="284" spans="1:26" hidden="1" outlineLevel="2">
      <c r="A284" s="19"/>
      <c r="B284" s="74"/>
      <c r="C284" s="207"/>
      <c r="D284" s="208"/>
      <c r="E284" s="133"/>
      <c r="F284" s="261"/>
      <c r="G284" s="138"/>
      <c r="H284" s="135"/>
      <c r="I284" s="206"/>
      <c r="J284" s="206"/>
      <c r="K284" s="206"/>
      <c r="L284" s="137"/>
      <c r="M284" s="163"/>
      <c r="N284" s="163"/>
      <c r="O284" s="288"/>
      <c r="P284" s="290"/>
      <c r="Q284" s="236">
        <f t="shared" si="82"/>
        <v>0</v>
      </c>
      <c r="R284" s="236">
        <f t="shared" si="83"/>
        <v>0</v>
      </c>
      <c r="S284" s="236"/>
      <c r="T284" s="236"/>
      <c r="U284" s="236">
        <f t="shared" si="84"/>
        <v>0</v>
      </c>
      <c r="V284" s="236"/>
      <c r="W284" s="232">
        <f t="shared" si="85"/>
        <v>0</v>
      </c>
      <c r="X284" s="236"/>
      <c r="Y284" s="236"/>
      <c r="Z284" s="236"/>
    </row>
    <row r="285" spans="1:26" hidden="1" outlineLevel="2">
      <c r="A285" s="160"/>
      <c r="B285" s="74"/>
      <c r="C285" s="207"/>
      <c r="D285" s="208"/>
      <c r="E285" s="133"/>
      <c r="F285" s="261"/>
      <c r="G285" s="138"/>
      <c r="H285" s="139"/>
      <c r="I285" s="206"/>
      <c r="J285" s="206"/>
      <c r="K285" s="206"/>
      <c r="L285" s="137"/>
      <c r="M285" s="74"/>
      <c r="N285" s="74"/>
      <c r="O285" s="19"/>
      <c r="P285" s="290"/>
      <c r="Q285" s="236">
        <f t="shared" si="82"/>
        <v>0</v>
      </c>
      <c r="R285" s="236">
        <f t="shared" si="83"/>
        <v>0</v>
      </c>
      <c r="S285" s="235"/>
      <c r="T285" s="235"/>
      <c r="U285" s="236">
        <f t="shared" si="84"/>
        <v>0</v>
      </c>
      <c r="V285" s="235"/>
      <c r="W285" s="232">
        <f t="shared" si="85"/>
        <v>0</v>
      </c>
      <c r="X285" s="235"/>
      <c r="Y285" s="235"/>
      <c r="Z285" s="235"/>
    </row>
    <row r="286" spans="1:26" hidden="1" outlineLevel="2">
      <c r="A286" s="160"/>
      <c r="B286" s="74"/>
      <c r="C286" s="207"/>
      <c r="D286" s="208"/>
      <c r="E286" s="133"/>
      <c r="F286" s="261"/>
      <c r="G286" s="138"/>
      <c r="H286" s="139"/>
      <c r="I286" s="206"/>
      <c r="J286" s="206"/>
      <c r="K286" s="206"/>
      <c r="L286" s="137"/>
      <c r="M286" s="74"/>
      <c r="N286" s="19"/>
      <c r="O286" s="19"/>
      <c r="P286" s="290"/>
      <c r="Q286" s="236">
        <f t="shared" si="82"/>
        <v>0</v>
      </c>
      <c r="R286" s="236">
        <f t="shared" si="83"/>
        <v>0</v>
      </c>
      <c r="S286" s="235"/>
      <c r="T286" s="235"/>
      <c r="U286" s="236">
        <f t="shared" si="84"/>
        <v>0</v>
      </c>
      <c r="V286" s="235"/>
      <c r="W286" s="232">
        <f t="shared" si="85"/>
        <v>0</v>
      </c>
      <c r="X286" s="235"/>
      <c r="Y286" s="235"/>
      <c r="Z286" s="235"/>
    </row>
    <row r="287" spans="1:26" hidden="1" outlineLevel="2">
      <c r="A287" s="160"/>
      <c r="B287" s="74"/>
      <c r="C287" s="207"/>
      <c r="D287" s="208"/>
      <c r="E287" s="133"/>
      <c r="F287" s="261"/>
      <c r="G287" s="138"/>
      <c r="H287" s="139"/>
      <c r="I287" s="206"/>
      <c r="J287" s="206"/>
      <c r="K287" s="206"/>
      <c r="L287" s="137"/>
      <c r="M287" s="74"/>
      <c r="N287" s="19"/>
      <c r="O287" s="19"/>
      <c r="P287" s="290"/>
      <c r="Q287" s="236">
        <f t="shared" si="82"/>
        <v>0</v>
      </c>
      <c r="R287" s="236">
        <f>SUM(S287:T287)</f>
        <v>0</v>
      </c>
      <c r="S287" s="235"/>
      <c r="T287" s="235"/>
      <c r="U287" s="236">
        <f t="shared" si="84"/>
        <v>0</v>
      </c>
      <c r="V287" s="235"/>
      <c r="W287" s="232">
        <f t="shared" si="85"/>
        <v>0</v>
      </c>
      <c r="X287" s="235"/>
      <c r="Y287" s="235"/>
      <c r="Z287" s="235"/>
    </row>
    <row r="288" spans="1:26" hidden="1" outlineLevel="2">
      <c r="A288" s="164"/>
      <c r="B288" s="351"/>
      <c r="C288" s="227"/>
      <c r="D288" s="228"/>
      <c r="E288" s="165"/>
      <c r="F288" s="279"/>
      <c r="G288" s="166"/>
      <c r="H288" s="167"/>
      <c r="I288" s="229"/>
      <c r="J288" s="229"/>
      <c r="K288" s="229"/>
      <c r="L288" s="230"/>
      <c r="M288" s="351"/>
      <c r="N288" s="168"/>
      <c r="O288" s="168"/>
      <c r="P288" s="291"/>
      <c r="Q288" s="233"/>
      <c r="R288" s="233"/>
      <c r="S288" s="233"/>
      <c r="T288" s="233"/>
      <c r="U288" s="233"/>
      <c r="V288" s="233"/>
      <c r="W288" s="233"/>
      <c r="X288" s="233"/>
      <c r="Y288" s="233"/>
      <c r="Z288" s="233"/>
    </row>
    <row r="289" spans="1:26" s="75" customFormat="1" ht="24" outlineLevel="1" collapsed="1">
      <c r="A289" s="237"/>
      <c r="B289" s="238" t="s">
        <v>288</v>
      </c>
      <c r="C289" s="239" t="s">
        <v>47</v>
      </c>
      <c r="D289" s="240" t="s">
        <v>238</v>
      </c>
      <c r="E289" s="241"/>
      <c r="F289" s="264" t="s">
        <v>294</v>
      </c>
      <c r="G289" s="242"/>
      <c r="H289" s="243"/>
      <c r="I289" s="244" t="s">
        <v>48</v>
      </c>
      <c r="J289" s="244"/>
      <c r="K289" s="244"/>
      <c r="L289" s="150" t="str">
        <f>CONCATENATE(L290," ",N290,M290," ",L291," ",N291,M291," "," ",L292," ",N292,M292," ",L293," ",N293,M293)</f>
        <v xml:space="preserve">Ручная расчистка 0,37Га.       </v>
      </c>
      <c r="M289" s="243"/>
      <c r="N289" s="243"/>
      <c r="O289" s="287">
        <f>SUM(O290:O293)</f>
        <v>7.6999999999999999E-2</v>
      </c>
      <c r="P289" s="289" t="s">
        <v>46</v>
      </c>
      <c r="Q289" s="246">
        <f t="shared" ref="Q289:Z289" si="86">SUM(Q290:Q293)</f>
        <v>0</v>
      </c>
      <c r="R289" s="246">
        <f t="shared" si="86"/>
        <v>0</v>
      </c>
      <c r="S289" s="246">
        <f t="shared" si="86"/>
        <v>0</v>
      </c>
      <c r="T289" s="246">
        <f t="shared" si="86"/>
        <v>0</v>
      </c>
      <c r="U289" s="246">
        <f t="shared" si="86"/>
        <v>0</v>
      </c>
      <c r="V289" s="246">
        <f t="shared" si="86"/>
        <v>0</v>
      </c>
      <c r="W289" s="246">
        <f t="shared" si="86"/>
        <v>0</v>
      </c>
      <c r="X289" s="246">
        <f t="shared" si="86"/>
        <v>0</v>
      </c>
      <c r="Y289" s="246">
        <f t="shared" si="86"/>
        <v>0</v>
      </c>
      <c r="Z289" s="246">
        <f t="shared" si="86"/>
        <v>0</v>
      </c>
    </row>
    <row r="290" spans="1:26" hidden="1" outlineLevel="2">
      <c r="A290" s="19"/>
      <c r="B290" s="74" t="s">
        <v>288</v>
      </c>
      <c r="C290" s="207" t="s">
        <v>47</v>
      </c>
      <c r="D290" s="208" t="s">
        <v>238</v>
      </c>
      <c r="E290" s="133"/>
      <c r="F290" s="261" t="s">
        <v>293</v>
      </c>
      <c r="G290" s="138"/>
      <c r="H290" s="135"/>
      <c r="I290" s="206"/>
      <c r="J290" s="206"/>
      <c r="K290" s="206"/>
      <c r="L290" s="137" t="s">
        <v>162</v>
      </c>
      <c r="M290" s="163" t="s">
        <v>44</v>
      </c>
      <c r="N290" s="163">
        <v>0.37</v>
      </c>
      <c r="O290" s="288">
        <f>ROUND(N290/100/0.048,3)</f>
        <v>7.6999999999999999E-2</v>
      </c>
      <c r="P290" s="290" t="s">
        <v>46</v>
      </c>
      <c r="Q290" s="236">
        <f>SUM(R290,U290)</f>
        <v>0</v>
      </c>
      <c r="R290" s="236">
        <f>SUM(S290:T290)</f>
        <v>0</v>
      </c>
      <c r="S290" s="236"/>
      <c r="T290" s="236"/>
      <c r="U290" s="236">
        <f>SUM(V290:Y290)</f>
        <v>0</v>
      </c>
      <c r="V290" s="236"/>
      <c r="W290" s="232">
        <f>V290*0.304</f>
        <v>0</v>
      </c>
      <c r="X290" s="236"/>
      <c r="Y290" s="236"/>
      <c r="Z290" s="236"/>
    </row>
    <row r="291" spans="1:26" hidden="1" outlineLevel="2">
      <c r="A291" s="19"/>
      <c r="B291" s="74"/>
      <c r="C291" s="207"/>
      <c r="D291" s="208"/>
      <c r="E291" s="133"/>
      <c r="F291" s="261"/>
      <c r="G291" s="138"/>
      <c r="H291" s="135"/>
      <c r="I291" s="206"/>
      <c r="J291" s="206"/>
      <c r="K291" s="206"/>
      <c r="L291" s="137"/>
      <c r="M291" s="163"/>
      <c r="N291" s="163"/>
      <c r="O291" s="288"/>
      <c r="P291" s="290"/>
      <c r="Q291" s="236">
        <f>SUM(R291,U291)</f>
        <v>0</v>
      </c>
      <c r="R291" s="236">
        <f>SUM(S291:T291)</f>
        <v>0</v>
      </c>
      <c r="S291" s="236"/>
      <c r="T291" s="236"/>
      <c r="U291" s="236">
        <f>SUM(V291:Y291)</f>
        <v>0</v>
      </c>
      <c r="V291" s="236"/>
      <c r="W291" s="232">
        <f>V291*0.304</f>
        <v>0</v>
      </c>
      <c r="X291" s="236"/>
      <c r="Y291" s="236"/>
      <c r="Z291" s="236"/>
    </row>
    <row r="292" spans="1:26" hidden="1" outlineLevel="2">
      <c r="A292" s="19"/>
      <c r="B292" s="74"/>
      <c r="C292" s="207"/>
      <c r="D292" s="208"/>
      <c r="E292" s="133"/>
      <c r="F292" s="261"/>
      <c r="G292" s="138"/>
      <c r="H292" s="135"/>
      <c r="I292" s="206"/>
      <c r="J292" s="206"/>
      <c r="K292" s="206"/>
      <c r="L292" s="137"/>
      <c r="M292" s="163"/>
      <c r="N292" s="163"/>
      <c r="O292" s="288"/>
      <c r="P292" s="290"/>
      <c r="Q292" s="236">
        <f>SUM(R292,U292)</f>
        <v>0</v>
      </c>
      <c r="R292" s="236">
        <f>SUM(S292:T292)</f>
        <v>0</v>
      </c>
      <c r="S292" s="236"/>
      <c r="T292" s="236"/>
      <c r="U292" s="236">
        <f>SUM(V292:Y292)</f>
        <v>0</v>
      </c>
      <c r="V292" s="236"/>
      <c r="W292" s="232">
        <f>V292*0.304</f>
        <v>0</v>
      </c>
      <c r="X292" s="236"/>
      <c r="Y292" s="236"/>
      <c r="Z292" s="236"/>
    </row>
    <row r="293" spans="1:26" hidden="1" outlineLevel="2">
      <c r="A293" s="19"/>
      <c r="B293" s="74"/>
      <c r="C293" s="207"/>
      <c r="D293" s="208"/>
      <c r="E293" s="133"/>
      <c r="F293" s="261"/>
      <c r="G293" s="138"/>
      <c r="H293" s="135"/>
      <c r="I293" s="206"/>
      <c r="J293" s="206"/>
      <c r="K293" s="206"/>
      <c r="L293" s="137"/>
      <c r="M293" s="163"/>
      <c r="N293" s="163"/>
      <c r="O293" s="288"/>
      <c r="P293" s="290"/>
      <c r="Q293" s="236">
        <f>SUM(R293,U293)</f>
        <v>0</v>
      </c>
      <c r="R293" s="236">
        <f>SUM(S293:T293)</f>
        <v>0</v>
      </c>
      <c r="S293" s="236"/>
      <c r="T293" s="236"/>
      <c r="U293" s="236">
        <f>SUM(V293:Y293)</f>
        <v>0</v>
      </c>
      <c r="V293" s="236"/>
      <c r="W293" s="232">
        <f>V293*0.304</f>
        <v>0</v>
      </c>
      <c r="X293" s="236"/>
      <c r="Y293" s="236"/>
      <c r="Z293" s="236"/>
    </row>
    <row r="294" spans="1:26" hidden="1" outlineLevel="2">
      <c r="A294" s="164"/>
      <c r="B294" s="351"/>
      <c r="C294" s="227"/>
      <c r="D294" s="228"/>
      <c r="E294" s="165"/>
      <c r="F294" s="279"/>
      <c r="G294" s="166"/>
      <c r="H294" s="167"/>
      <c r="I294" s="229"/>
      <c r="J294" s="229"/>
      <c r="K294" s="229"/>
      <c r="L294" s="230"/>
      <c r="M294" s="351"/>
      <c r="N294" s="168"/>
      <c r="O294" s="168"/>
      <c r="P294" s="291"/>
      <c r="Q294" s="233"/>
      <c r="R294" s="233"/>
      <c r="S294" s="233"/>
      <c r="T294" s="233"/>
      <c r="U294" s="233"/>
      <c r="V294" s="233"/>
      <c r="W294" s="233"/>
      <c r="X294" s="233"/>
      <c r="Y294" s="233"/>
      <c r="Z294" s="233"/>
    </row>
    <row r="295" spans="1:26" s="75" customFormat="1" outlineLevel="1" collapsed="1">
      <c r="A295" s="237"/>
      <c r="B295" s="238"/>
      <c r="C295" s="239"/>
      <c r="D295" s="240"/>
      <c r="E295" s="241"/>
      <c r="F295" s="264"/>
      <c r="G295" s="242"/>
      <c r="H295" s="243"/>
      <c r="I295" s="244"/>
      <c r="J295" s="244"/>
      <c r="K295" s="244"/>
      <c r="L295" s="150" t="str">
        <f>CONCATENATE(L296," ",N296,M296," ",L297," ",N297,M297," "," ",L298," ",N298,M298," ",L299," ",N299,M299," ",L300," ",N300,M300," ",L301," ",N301,M301," ",L302," ",N302,M302," ",L303," ",N303,M303)</f>
        <v xml:space="preserve">                </v>
      </c>
      <c r="M295" s="243"/>
      <c r="N295" s="243"/>
      <c r="O295" s="287">
        <f>SUM(O296:O303)</f>
        <v>0</v>
      </c>
      <c r="P295" s="289"/>
      <c r="Q295" s="246">
        <f>SUM(Q296:Q303)</f>
        <v>0</v>
      </c>
      <c r="R295" s="246">
        <f t="shared" ref="R295:Y295" si="87">SUM(R296:R303)</f>
        <v>0</v>
      </c>
      <c r="S295" s="246">
        <f t="shared" si="87"/>
        <v>0</v>
      </c>
      <c r="T295" s="246">
        <f t="shared" si="87"/>
        <v>0</v>
      </c>
      <c r="U295" s="246">
        <f t="shared" si="87"/>
        <v>0</v>
      </c>
      <c r="V295" s="246">
        <f t="shared" si="87"/>
        <v>0</v>
      </c>
      <c r="W295" s="246">
        <f t="shared" si="87"/>
        <v>0</v>
      </c>
      <c r="X295" s="246">
        <f t="shared" si="87"/>
        <v>0</v>
      </c>
      <c r="Y295" s="246">
        <f t="shared" si="87"/>
        <v>0</v>
      </c>
      <c r="Z295" s="246">
        <f>SUM(Z296:Z303)</f>
        <v>0</v>
      </c>
    </row>
    <row r="296" spans="1:26" hidden="1" outlineLevel="2">
      <c r="A296" s="19"/>
      <c r="B296" s="74"/>
      <c r="C296" s="207"/>
      <c r="D296" s="208"/>
      <c r="E296" s="133"/>
      <c r="F296" s="261"/>
      <c r="G296" s="138"/>
      <c r="H296" s="135"/>
      <c r="I296" s="206"/>
      <c r="J296" s="206"/>
      <c r="K296" s="206"/>
      <c r="L296" s="137"/>
      <c r="M296" s="163"/>
      <c r="N296" s="163"/>
      <c r="O296" s="288"/>
      <c r="P296" s="290"/>
      <c r="Q296" s="236">
        <f>SUM(R296,U296)</f>
        <v>0</v>
      </c>
      <c r="R296" s="236">
        <f>SUM(S296:T296)</f>
        <v>0</v>
      </c>
      <c r="S296" s="236"/>
      <c r="T296" s="236"/>
      <c r="U296" s="236">
        <f>SUM(V296:Y296)</f>
        <v>0</v>
      </c>
      <c r="V296" s="236"/>
      <c r="W296" s="232">
        <f>V296*0.304</f>
        <v>0</v>
      </c>
      <c r="X296" s="236"/>
      <c r="Y296" s="236"/>
      <c r="Z296" s="236"/>
    </row>
    <row r="297" spans="1:26" hidden="1" outlineLevel="2">
      <c r="A297" s="19"/>
      <c r="B297" s="74"/>
      <c r="C297" s="207"/>
      <c r="D297" s="208"/>
      <c r="E297" s="133"/>
      <c r="F297" s="261"/>
      <c r="G297" s="138"/>
      <c r="H297" s="135"/>
      <c r="I297" s="206"/>
      <c r="J297" s="206"/>
      <c r="K297" s="206"/>
      <c r="L297" s="137"/>
      <c r="M297" s="163"/>
      <c r="N297" s="163"/>
      <c r="O297" s="288"/>
      <c r="P297" s="290"/>
      <c r="Q297" s="236">
        <f t="shared" ref="Q297:Q303" si="88">SUM(R297,U297)</f>
        <v>0</v>
      </c>
      <c r="R297" s="236">
        <f t="shared" ref="R297:R302" si="89">SUM(S297:T297)</f>
        <v>0</v>
      </c>
      <c r="S297" s="236"/>
      <c r="T297" s="236"/>
      <c r="U297" s="236">
        <f t="shared" ref="U297:U303" si="90">SUM(V297:Y297)</f>
        <v>0</v>
      </c>
      <c r="V297" s="236"/>
      <c r="W297" s="232">
        <f t="shared" ref="W297:W303" si="91">V297*0.304</f>
        <v>0</v>
      </c>
      <c r="X297" s="236"/>
      <c r="Y297" s="236"/>
      <c r="Z297" s="236"/>
    </row>
    <row r="298" spans="1:26" hidden="1" outlineLevel="2">
      <c r="A298" s="19"/>
      <c r="B298" s="74"/>
      <c r="C298" s="207"/>
      <c r="D298" s="208"/>
      <c r="E298" s="133"/>
      <c r="F298" s="261"/>
      <c r="G298" s="138"/>
      <c r="H298" s="135"/>
      <c r="I298" s="206"/>
      <c r="J298" s="206"/>
      <c r="K298" s="206"/>
      <c r="L298" s="137"/>
      <c r="M298" s="163"/>
      <c r="N298" s="163"/>
      <c r="O298" s="288"/>
      <c r="P298" s="290"/>
      <c r="Q298" s="236">
        <f t="shared" si="88"/>
        <v>0</v>
      </c>
      <c r="R298" s="236">
        <f t="shared" si="89"/>
        <v>0</v>
      </c>
      <c r="S298" s="236"/>
      <c r="T298" s="236"/>
      <c r="U298" s="236">
        <f t="shared" si="90"/>
        <v>0</v>
      </c>
      <c r="V298" s="236"/>
      <c r="W298" s="232">
        <f t="shared" si="91"/>
        <v>0</v>
      </c>
      <c r="X298" s="236"/>
      <c r="Y298" s="236"/>
      <c r="Z298" s="236"/>
    </row>
    <row r="299" spans="1:26" hidden="1" outlineLevel="2">
      <c r="A299" s="19"/>
      <c r="B299" s="74"/>
      <c r="C299" s="207"/>
      <c r="D299" s="208"/>
      <c r="E299" s="133"/>
      <c r="F299" s="261"/>
      <c r="G299" s="138"/>
      <c r="H299" s="135"/>
      <c r="I299" s="206"/>
      <c r="J299" s="206"/>
      <c r="K299" s="206"/>
      <c r="L299" s="137"/>
      <c r="M299" s="163"/>
      <c r="N299" s="163"/>
      <c r="O299" s="288"/>
      <c r="P299" s="290"/>
      <c r="Q299" s="236">
        <f t="shared" si="88"/>
        <v>0</v>
      </c>
      <c r="R299" s="236">
        <f t="shared" si="89"/>
        <v>0</v>
      </c>
      <c r="S299" s="236"/>
      <c r="T299" s="236"/>
      <c r="U299" s="236">
        <f t="shared" si="90"/>
        <v>0</v>
      </c>
      <c r="V299" s="236"/>
      <c r="W299" s="232">
        <f t="shared" si="91"/>
        <v>0</v>
      </c>
      <c r="X299" s="236"/>
      <c r="Y299" s="236"/>
      <c r="Z299" s="236"/>
    </row>
    <row r="300" spans="1:26" hidden="1" outlineLevel="2">
      <c r="A300" s="19"/>
      <c r="B300" s="74"/>
      <c r="C300" s="207"/>
      <c r="D300" s="208"/>
      <c r="E300" s="133"/>
      <c r="F300" s="261"/>
      <c r="G300" s="138"/>
      <c r="H300" s="135"/>
      <c r="I300" s="206"/>
      <c r="J300" s="206"/>
      <c r="K300" s="206"/>
      <c r="L300" s="137"/>
      <c r="M300" s="163"/>
      <c r="N300" s="163"/>
      <c r="O300" s="288"/>
      <c r="P300" s="290"/>
      <c r="Q300" s="236">
        <f t="shared" si="88"/>
        <v>0</v>
      </c>
      <c r="R300" s="236">
        <f t="shared" si="89"/>
        <v>0</v>
      </c>
      <c r="S300" s="236"/>
      <c r="T300" s="236"/>
      <c r="U300" s="236">
        <f t="shared" si="90"/>
        <v>0</v>
      </c>
      <c r="V300" s="236"/>
      <c r="W300" s="232">
        <f t="shared" si="91"/>
        <v>0</v>
      </c>
      <c r="X300" s="236"/>
      <c r="Y300" s="236"/>
      <c r="Z300" s="236"/>
    </row>
    <row r="301" spans="1:26" hidden="1" outlineLevel="2">
      <c r="A301" s="160"/>
      <c r="B301" s="74"/>
      <c r="C301" s="207"/>
      <c r="D301" s="208"/>
      <c r="E301" s="133"/>
      <c r="F301" s="261"/>
      <c r="G301" s="138"/>
      <c r="H301" s="139"/>
      <c r="I301" s="206"/>
      <c r="J301" s="206"/>
      <c r="K301" s="206"/>
      <c r="L301" s="137"/>
      <c r="M301" s="74"/>
      <c r="N301" s="74"/>
      <c r="O301" s="19"/>
      <c r="P301" s="290"/>
      <c r="Q301" s="236">
        <f t="shared" si="88"/>
        <v>0</v>
      </c>
      <c r="R301" s="236">
        <f t="shared" si="89"/>
        <v>0</v>
      </c>
      <c r="S301" s="235"/>
      <c r="T301" s="235"/>
      <c r="U301" s="236">
        <f t="shared" si="90"/>
        <v>0</v>
      </c>
      <c r="V301" s="235"/>
      <c r="W301" s="232">
        <f t="shared" si="91"/>
        <v>0</v>
      </c>
      <c r="X301" s="235"/>
      <c r="Y301" s="235"/>
      <c r="Z301" s="235"/>
    </row>
    <row r="302" spans="1:26" hidden="1" outlineLevel="2">
      <c r="A302" s="160"/>
      <c r="B302" s="74"/>
      <c r="C302" s="207"/>
      <c r="D302" s="208"/>
      <c r="E302" s="133"/>
      <c r="F302" s="261"/>
      <c r="G302" s="138"/>
      <c r="H302" s="139"/>
      <c r="I302" s="206"/>
      <c r="J302" s="206"/>
      <c r="K302" s="206"/>
      <c r="L302" s="137"/>
      <c r="M302" s="74"/>
      <c r="N302" s="19"/>
      <c r="O302" s="19"/>
      <c r="P302" s="290"/>
      <c r="Q302" s="236">
        <f t="shared" si="88"/>
        <v>0</v>
      </c>
      <c r="R302" s="236">
        <f t="shared" si="89"/>
        <v>0</v>
      </c>
      <c r="S302" s="235"/>
      <c r="T302" s="235"/>
      <c r="U302" s="236">
        <f t="shared" si="90"/>
        <v>0</v>
      </c>
      <c r="V302" s="235"/>
      <c r="W302" s="232">
        <f t="shared" si="91"/>
        <v>0</v>
      </c>
      <c r="X302" s="235"/>
      <c r="Y302" s="235"/>
      <c r="Z302" s="235"/>
    </row>
    <row r="303" spans="1:26" hidden="1" outlineLevel="2">
      <c r="A303" s="160"/>
      <c r="B303" s="74"/>
      <c r="C303" s="207"/>
      <c r="D303" s="208"/>
      <c r="E303" s="133"/>
      <c r="F303" s="261"/>
      <c r="G303" s="138"/>
      <c r="H303" s="139"/>
      <c r="I303" s="206"/>
      <c r="J303" s="206"/>
      <c r="K303" s="206"/>
      <c r="L303" s="137"/>
      <c r="M303" s="74"/>
      <c r="N303" s="19"/>
      <c r="O303" s="19"/>
      <c r="P303" s="290"/>
      <c r="Q303" s="236">
        <f t="shared" si="88"/>
        <v>0</v>
      </c>
      <c r="R303" s="236">
        <f>SUM(S303:T303)</f>
        <v>0</v>
      </c>
      <c r="S303" s="235"/>
      <c r="T303" s="235"/>
      <c r="U303" s="236">
        <f t="shared" si="90"/>
        <v>0</v>
      </c>
      <c r="V303" s="235"/>
      <c r="W303" s="232">
        <f t="shared" si="91"/>
        <v>0</v>
      </c>
      <c r="X303" s="235"/>
      <c r="Y303" s="235"/>
      <c r="Z303" s="235"/>
    </row>
    <row r="304" spans="1:26" hidden="1" outlineLevel="2">
      <c r="A304" s="164"/>
      <c r="B304" s="351"/>
      <c r="C304" s="227"/>
      <c r="D304" s="228"/>
      <c r="E304" s="165"/>
      <c r="F304" s="279"/>
      <c r="G304" s="166"/>
      <c r="H304" s="167"/>
      <c r="I304" s="229"/>
      <c r="J304" s="229"/>
      <c r="K304" s="229"/>
      <c r="L304" s="230"/>
      <c r="M304" s="351"/>
      <c r="N304" s="168"/>
      <c r="O304" s="168"/>
      <c r="P304" s="291"/>
      <c r="Q304" s="233"/>
      <c r="R304" s="233"/>
      <c r="S304" s="233"/>
      <c r="T304" s="233"/>
      <c r="U304" s="233"/>
      <c r="V304" s="233"/>
      <c r="W304" s="233"/>
      <c r="X304" s="233"/>
      <c r="Y304" s="233"/>
      <c r="Z304" s="233"/>
    </row>
    <row r="305" spans="1:26" s="75" customFormat="1" outlineLevel="1" collapsed="1">
      <c r="A305" s="237"/>
      <c r="B305" s="238"/>
      <c r="C305" s="239"/>
      <c r="D305" s="240"/>
      <c r="E305" s="241"/>
      <c r="F305" s="264"/>
      <c r="G305" s="242"/>
      <c r="H305" s="243"/>
      <c r="I305" s="244"/>
      <c r="J305" s="244"/>
      <c r="K305" s="244"/>
      <c r="L305" s="150" t="str">
        <f>CONCATENATE(L306," ",N306,M306," ",L307," ",N307,M307," "," ",L308," ",N308,M308," ",L309," ",N309,M309," ",L310," ",N310,M310," ",L311," ",N311,M311," ",L312," ",N312,M312," ",L313," ",N313,M313)</f>
        <v xml:space="preserve">                </v>
      </c>
      <c r="M305" s="243"/>
      <c r="N305" s="243"/>
      <c r="O305" s="287">
        <f>SUM(O306:O313)</f>
        <v>0</v>
      </c>
      <c r="P305" s="289"/>
      <c r="Q305" s="246">
        <f>SUM(Q306:Q313)</f>
        <v>0</v>
      </c>
      <c r="R305" s="246">
        <f t="shared" ref="R305:Y305" si="92">SUM(R306:R313)</f>
        <v>0</v>
      </c>
      <c r="S305" s="246">
        <f t="shared" si="92"/>
        <v>0</v>
      </c>
      <c r="T305" s="246">
        <f t="shared" si="92"/>
        <v>0</v>
      </c>
      <c r="U305" s="246">
        <f t="shared" si="92"/>
        <v>0</v>
      </c>
      <c r="V305" s="246">
        <f t="shared" si="92"/>
        <v>0</v>
      </c>
      <c r="W305" s="246">
        <f t="shared" si="92"/>
        <v>0</v>
      </c>
      <c r="X305" s="246">
        <f t="shared" si="92"/>
        <v>0</v>
      </c>
      <c r="Y305" s="246">
        <f t="shared" si="92"/>
        <v>0</v>
      </c>
      <c r="Z305" s="246">
        <f>SUM(Z306:Z313)</f>
        <v>0</v>
      </c>
    </row>
    <row r="306" spans="1:26" hidden="1" outlineLevel="2">
      <c r="A306" s="19"/>
      <c r="B306" s="74"/>
      <c r="C306" s="207"/>
      <c r="D306" s="208"/>
      <c r="E306" s="133"/>
      <c r="F306" s="261"/>
      <c r="G306" s="138"/>
      <c r="H306" s="135"/>
      <c r="I306" s="206"/>
      <c r="J306" s="206"/>
      <c r="K306" s="206"/>
      <c r="L306" s="137"/>
      <c r="M306" s="163"/>
      <c r="N306" s="163"/>
      <c r="O306" s="288"/>
      <c r="P306" s="290"/>
      <c r="Q306" s="236">
        <f>SUM(R306,U306)</f>
        <v>0</v>
      </c>
      <c r="R306" s="236">
        <f>SUM(S306:T306)</f>
        <v>0</v>
      </c>
      <c r="S306" s="236"/>
      <c r="T306" s="236"/>
      <c r="U306" s="236">
        <f>SUM(V306:Y306)</f>
        <v>0</v>
      </c>
      <c r="V306" s="236"/>
      <c r="W306" s="232">
        <f>V306*0.304</f>
        <v>0</v>
      </c>
      <c r="X306" s="236"/>
      <c r="Y306" s="236"/>
      <c r="Z306" s="236"/>
    </row>
    <row r="307" spans="1:26" hidden="1" outlineLevel="2">
      <c r="A307" s="19"/>
      <c r="B307" s="74"/>
      <c r="C307" s="207"/>
      <c r="D307" s="208"/>
      <c r="E307" s="133"/>
      <c r="F307" s="261"/>
      <c r="G307" s="138"/>
      <c r="H307" s="135"/>
      <c r="I307" s="206"/>
      <c r="J307" s="206"/>
      <c r="K307" s="206"/>
      <c r="L307" s="137"/>
      <c r="M307" s="163"/>
      <c r="N307" s="163"/>
      <c r="O307" s="288"/>
      <c r="P307" s="290"/>
      <c r="Q307" s="236">
        <f t="shared" ref="Q307:Q313" si="93">SUM(R307,U307)</f>
        <v>0</v>
      </c>
      <c r="R307" s="236">
        <f t="shared" ref="R307:R312" si="94">SUM(S307:T307)</f>
        <v>0</v>
      </c>
      <c r="S307" s="236"/>
      <c r="T307" s="236"/>
      <c r="U307" s="236">
        <f t="shared" ref="U307:U313" si="95">SUM(V307:Y307)</f>
        <v>0</v>
      </c>
      <c r="V307" s="236"/>
      <c r="W307" s="232">
        <f t="shared" ref="W307:W313" si="96">V307*0.304</f>
        <v>0</v>
      </c>
      <c r="X307" s="236"/>
      <c r="Y307" s="236"/>
      <c r="Z307" s="236"/>
    </row>
    <row r="308" spans="1:26" hidden="1" outlineLevel="2">
      <c r="A308" s="19"/>
      <c r="B308" s="74"/>
      <c r="C308" s="207"/>
      <c r="D308" s="208"/>
      <c r="E308" s="133"/>
      <c r="F308" s="261"/>
      <c r="G308" s="138"/>
      <c r="H308" s="135"/>
      <c r="I308" s="206"/>
      <c r="J308" s="206"/>
      <c r="K308" s="206"/>
      <c r="L308" s="137"/>
      <c r="M308" s="163"/>
      <c r="N308" s="163"/>
      <c r="O308" s="288"/>
      <c r="P308" s="290"/>
      <c r="Q308" s="236">
        <f t="shared" si="93"/>
        <v>0</v>
      </c>
      <c r="R308" s="236">
        <f t="shared" si="94"/>
        <v>0</v>
      </c>
      <c r="S308" s="236"/>
      <c r="T308" s="236"/>
      <c r="U308" s="236">
        <f t="shared" si="95"/>
        <v>0</v>
      </c>
      <c r="V308" s="236"/>
      <c r="W308" s="232">
        <f t="shared" si="96"/>
        <v>0</v>
      </c>
      <c r="X308" s="236"/>
      <c r="Y308" s="236"/>
      <c r="Z308" s="236"/>
    </row>
    <row r="309" spans="1:26" hidden="1" outlineLevel="2">
      <c r="A309" s="19"/>
      <c r="B309" s="74"/>
      <c r="C309" s="207"/>
      <c r="D309" s="208"/>
      <c r="E309" s="133"/>
      <c r="F309" s="261"/>
      <c r="G309" s="138"/>
      <c r="H309" s="135"/>
      <c r="I309" s="206"/>
      <c r="J309" s="206"/>
      <c r="K309" s="206"/>
      <c r="L309" s="137"/>
      <c r="M309" s="163"/>
      <c r="N309" s="163"/>
      <c r="O309" s="288"/>
      <c r="P309" s="290"/>
      <c r="Q309" s="236">
        <f t="shared" si="93"/>
        <v>0</v>
      </c>
      <c r="R309" s="236">
        <f t="shared" si="94"/>
        <v>0</v>
      </c>
      <c r="S309" s="236"/>
      <c r="T309" s="236"/>
      <c r="U309" s="236">
        <f t="shared" si="95"/>
        <v>0</v>
      </c>
      <c r="V309" s="236"/>
      <c r="W309" s="232">
        <f t="shared" si="96"/>
        <v>0</v>
      </c>
      <c r="X309" s="236"/>
      <c r="Y309" s="236"/>
      <c r="Z309" s="236"/>
    </row>
    <row r="310" spans="1:26" hidden="1" outlineLevel="2">
      <c r="A310" s="19"/>
      <c r="B310" s="74"/>
      <c r="C310" s="207"/>
      <c r="D310" s="208"/>
      <c r="E310" s="133"/>
      <c r="F310" s="261"/>
      <c r="G310" s="138"/>
      <c r="H310" s="135"/>
      <c r="I310" s="206"/>
      <c r="J310" s="206"/>
      <c r="K310" s="206"/>
      <c r="L310" s="137"/>
      <c r="M310" s="163"/>
      <c r="N310" s="163"/>
      <c r="O310" s="288"/>
      <c r="P310" s="290"/>
      <c r="Q310" s="236">
        <f t="shared" si="93"/>
        <v>0</v>
      </c>
      <c r="R310" s="236">
        <f t="shared" si="94"/>
        <v>0</v>
      </c>
      <c r="S310" s="236"/>
      <c r="T310" s="236"/>
      <c r="U310" s="236">
        <f t="shared" si="95"/>
        <v>0</v>
      </c>
      <c r="V310" s="236"/>
      <c r="W310" s="232">
        <f t="shared" si="96"/>
        <v>0</v>
      </c>
      <c r="X310" s="236"/>
      <c r="Y310" s="236"/>
      <c r="Z310" s="236"/>
    </row>
    <row r="311" spans="1:26" hidden="1" outlineLevel="2">
      <c r="A311" s="160"/>
      <c r="B311" s="74"/>
      <c r="C311" s="207"/>
      <c r="D311" s="208"/>
      <c r="E311" s="133"/>
      <c r="F311" s="261"/>
      <c r="G311" s="138"/>
      <c r="H311" s="139"/>
      <c r="I311" s="206"/>
      <c r="J311" s="206"/>
      <c r="K311" s="206"/>
      <c r="L311" s="137"/>
      <c r="M311" s="74"/>
      <c r="N311" s="74"/>
      <c r="O311" s="19"/>
      <c r="P311" s="290"/>
      <c r="Q311" s="236">
        <f t="shared" si="93"/>
        <v>0</v>
      </c>
      <c r="R311" s="236">
        <f t="shared" si="94"/>
        <v>0</v>
      </c>
      <c r="S311" s="235"/>
      <c r="T311" s="235"/>
      <c r="U311" s="236">
        <f t="shared" si="95"/>
        <v>0</v>
      </c>
      <c r="V311" s="235"/>
      <c r="W311" s="232">
        <f t="shared" si="96"/>
        <v>0</v>
      </c>
      <c r="X311" s="235"/>
      <c r="Y311" s="235"/>
      <c r="Z311" s="235"/>
    </row>
    <row r="312" spans="1:26" hidden="1" outlineLevel="2">
      <c r="A312" s="160"/>
      <c r="B312" s="74"/>
      <c r="C312" s="207"/>
      <c r="D312" s="208"/>
      <c r="E312" s="133"/>
      <c r="F312" s="261"/>
      <c r="G312" s="138"/>
      <c r="H312" s="139"/>
      <c r="I312" s="206"/>
      <c r="J312" s="206"/>
      <c r="K312" s="206"/>
      <c r="L312" s="137"/>
      <c r="M312" s="74"/>
      <c r="N312" s="19"/>
      <c r="O312" s="19"/>
      <c r="P312" s="290"/>
      <c r="Q312" s="236">
        <f t="shared" si="93"/>
        <v>0</v>
      </c>
      <c r="R312" s="236">
        <f t="shared" si="94"/>
        <v>0</v>
      </c>
      <c r="S312" s="235"/>
      <c r="T312" s="235"/>
      <c r="U312" s="236">
        <f t="shared" si="95"/>
        <v>0</v>
      </c>
      <c r="V312" s="235"/>
      <c r="W312" s="232">
        <f t="shared" si="96"/>
        <v>0</v>
      </c>
      <c r="X312" s="235"/>
      <c r="Y312" s="235"/>
      <c r="Z312" s="235"/>
    </row>
    <row r="313" spans="1:26" hidden="1" outlineLevel="2">
      <c r="A313" s="160"/>
      <c r="B313" s="74"/>
      <c r="C313" s="207"/>
      <c r="D313" s="208"/>
      <c r="E313" s="133"/>
      <c r="F313" s="261"/>
      <c r="G313" s="138"/>
      <c r="H313" s="139"/>
      <c r="I313" s="206"/>
      <c r="J313" s="206"/>
      <c r="K313" s="206"/>
      <c r="L313" s="137"/>
      <c r="M313" s="74"/>
      <c r="N313" s="19"/>
      <c r="O313" s="19"/>
      <c r="P313" s="290"/>
      <c r="Q313" s="236">
        <f t="shared" si="93"/>
        <v>0</v>
      </c>
      <c r="R313" s="236">
        <f>SUM(S313:T313)</f>
        <v>0</v>
      </c>
      <c r="S313" s="235"/>
      <c r="T313" s="235"/>
      <c r="U313" s="236">
        <f t="shared" si="95"/>
        <v>0</v>
      </c>
      <c r="V313" s="235"/>
      <c r="W313" s="232">
        <f t="shared" si="96"/>
        <v>0</v>
      </c>
      <c r="X313" s="235"/>
      <c r="Y313" s="235"/>
      <c r="Z313" s="235"/>
    </row>
    <row r="314" spans="1:26" hidden="1" outlineLevel="2">
      <c r="A314" s="164"/>
      <c r="B314" s="351"/>
      <c r="C314" s="227"/>
      <c r="D314" s="228"/>
      <c r="E314" s="165"/>
      <c r="F314" s="279"/>
      <c r="G314" s="166"/>
      <c r="H314" s="167"/>
      <c r="I314" s="229"/>
      <c r="J314" s="229"/>
      <c r="K314" s="229"/>
      <c r="L314" s="230"/>
      <c r="M314" s="351"/>
      <c r="N314" s="168"/>
      <c r="O314" s="168"/>
      <c r="P314" s="291"/>
      <c r="Q314" s="233"/>
      <c r="R314" s="233"/>
      <c r="S314" s="233"/>
      <c r="T314" s="233"/>
      <c r="U314" s="233"/>
      <c r="V314" s="233"/>
      <c r="W314" s="233"/>
      <c r="X314" s="233"/>
      <c r="Y314" s="233"/>
      <c r="Z314" s="233"/>
    </row>
    <row r="315" spans="1:26" s="75" customFormat="1" outlineLevel="1" collapsed="1">
      <c r="A315" s="237"/>
      <c r="B315" s="238"/>
      <c r="C315" s="239"/>
      <c r="D315" s="240"/>
      <c r="E315" s="241"/>
      <c r="F315" s="264"/>
      <c r="G315" s="242"/>
      <c r="H315" s="243"/>
      <c r="I315" s="244"/>
      <c r="J315" s="244"/>
      <c r="K315" s="244"/>
      <c r="L315" s="150" t="str">
        <f>CONCATENATE(L316," ",N316,M316," ",L317," ",N317,M317," "," ",L318," ",N318,M318," ",L319," ",N319,M319," ",L320," ",N320,M320," ",L321," ",N321,M321," ",L322," ",N322,M322," ",L323," ",N323,M323)</f>
        <v xml:space="preserve">                </v>
      </c>
      <c r="M315" s="243"/>
      <c r="N315" s="243"/>
      <c r="O315" s="287">
        <f>SUM(O316:O323)</f>
        <v>0</v>
      </c>
      <c r="P315" s="289"/>
      <c r="Q315" s="246">
        <f>SUM(Q316:Q323)</f>
        <v>0</v>
      </c>
      <c r="R315" s="246">
        <f t="shared" ref="R315:Y315" si="97">SUM(R316:R323)</f>
        <v>0</v>
      </c>
      <c r="S315" s="246">
        <f t="shared" si="97"/>
        <v>0</v>
      </c>
      <c r="T315" s="246">
        <f t="shared" si="97"/>
        <v>0</v>
      </c>
      <c r="U315" s="246">
        <f t="shared" si="97"/>
        <v>0</v>
      </c>
      <c r="V315" s="246">
        <f t="shared" si="97"/>
        <v>0</v>
      </c>
      <c r="W315" s="246">
        <f t="shared" si="97"/>
        <v>0</v>
      </c>
      <c r="X315" s="246">
        <f t="shared" si="97"/>
        <v>0</v>
      </c>
      <c r="Y315" s="246">
        <f t="shared" si="97"/>
        <v>0</v>
      </c>
      <c r="Z315" s="246">
        <f>SUM(Z316:Z323)</f>
        <v>0</v>
      </c>
    </row>
    <row r="316" spans="1:26" hidden="1" outlineLevel="2">
      <c r="A316" s="19"/>
      <c r="B316" s="74"/>
      <c r="C316" s="207"/>
      <c r="D316" s="208"/>
      <c r="E316" s="133"/>
      <c r="F316" s="261"/>
      <c r="G316" s="138"/>
      <c r="H316" s="135"/>
      <c r="I316" s="206"/>
      <c r="J316" s="206"/>
      <c r="K316" s="206"/>
      <c r="L316" s="137"/>
      <c r="M316" s="163"/>
      <c r="N316" s="163"/>
      <c r="O316" s="288"/>
      <c r="P316" s="290"/>
      <c r="Q316" s="236">
        <f>SUM(R316,U316)</f>
        <v>0</v>
      </c>
      <c r="R316" s="236">
        <f>SUM(S316:T316)</f>
        <v>0</v>
      </c>
      <c r="S316" s="236"/>
      <c r="T316" s="236"/>
      <c r="U316" s="236">
        <f>SUM(V316:Y316)</f>
        <v>0</v>
      </c>
      <c r="V316" s="236"/>
      <c r="W316" s="232">
        <f>V316*0.304</f>
        <v>0</v>
      </c>
      <c r="X316" s="236"/>
      <c r="Y316" s="236"/>
      <c r="Z316" s="236"/>
    </row>
    <row r="317" spans="1:26" hidden="1" outlineLevel="2">
      <c r="A317" s="19"/>
      <c r="B317" s="74"/>
      <c r="C317" s="207"/>
      <c r="D317" s="208"/>
      <c r="E317" s="133"/>
      <c r="F317" s="261"/>
      <c r="G317" s="138"/>
      <c r="H317" s="135"/>
      <c r="I317" s="206"/>
      <c r="J317" s="206"/>
      <c r="K317" s="206"/>
      <c r="L317" s="137"/>
      <c r="M317" s="163"/>
      <c r="N317" s="163"/>
      <c r="O317" s="288"/>
      <c r="P317" s="290"/>
      <c r="Q317" s="236">
        <f t="shared" ref="Q317:Q323" si="98">SUM(R317,U317)</f>
        <v>0</v>
      </c>
      <c r="R317" s="236">
        <f t="shared" ref="R317:R322" si="99">SUM(S317:T317)</f>
        <v>0</v>
      </c>
      <c r="S317" s="236"/>
      <c r="T317" s="236"/>
      <c r="U317" s="236">
        <f t="shared" ref="U317:U323" si="100">SUM(V317:Y317)</f>
        <v>0</v>
      </c>
      <c r="V317" s="236"/>
      <c r="W317" s="232">
        <f t="shared" ref="W317:W323" si="101">V317*0.304</f>
        <v>0</v>
      </c>
      <c r="X317" s="236"/>
      <c r="Y317" s="236"/>
      <c r="Z317" s="236"/>
    </row>
    <row r="318" spans="1:26" hidden="1" outlineLevel="2">
      <c r="A318" s="19"/>
      <c r="B318" s="74"/>
      <c r="C318" s="207"/>
      <c r="D318" s="208"/>
      <c r="E318" s="133"/>
      <c r="F318" s="261"/>
      <c r="G318" s="138"/>
      <c r="H318" s="135"/>
      <c r="I318" s="206"/>
      <c r="J318" s="206"/>
      <c r="K318" s="206"/>
      <c r="L318" s="137"/>
      <c r="M318" s="163"/>
      <c r="N318" s="163"/>
      <c r="O318" s="288"/>
      <c r="P318" s="290"/>
      <c r="Q318" s="236">
        <f t="shared" si="98"/>
        <v>0</v>
      </c>
      <c r="R318" s="236">
        <f t="shared" si="99"/>
        <v>0</v>
      </c>
      <c r="S318" s="236"/>
      <c r="T318" s="236"/>
      <c r="U318" s="236">
        <f t="shared" si="100"/>
        <v>0</v>
      </c>
      <c r="V318" s="236"/>
      <c r="W318" s="232">
        <f t="shared" si="101"/>
        <v>0</v>
      </c>
      <c r="X318" s="236"/>
      <c r="Y318" s="236"/>
      <c r="Z318" s="236"/>
    </row>
    <row r="319" spans="1:26" hidden="1" outlineLevel="2">
      <c r="A319" s="19"/>
      <c r="B319" s="74"/>
      <c r="C319" s="207"/>
      <c r="D319" s="208"/>
      <c r="E319" s="133"/>
      <c r="F319" s="261"/>
      <c r="G319" s="138"/>
      <c r="H319" s="135"/>
      <c r="I319" s="206"/>
      <c r="J319" s="206"/>
      <c r="K319" s="206"/>
      <c r="L319" s="137"/>
      <c r="M319" s="163"/>
      <c r="N319" s="163"/>
      <c r="O319" s="288"/>
      <c r="P319" s="290"/>
      <c r="Q319" s="236">
        <f t="shared" si="98"/>
        <v>0</v>
      </c>
      <c r="R319" s="236">
        <f t="shared" si="99"/>
        <v>0</v>
      </c>
      <c r="S319" s="236"/>
      <c r="T319" s="236"/>
      <c r="U319" s="236">
        <f t="shared" si="100"/>
        <v>0</v>
      </c>
      <c r="V319" s="236"/>
      <c r="W319" s="232">
        <f t="shared" si="101"/>
        <v>0</v>
      </c>
      <c r="X319" s="236"/>
      <c r="Y319" s="236"/>
      <c r="Z319" s="236"/>
    </row>
    <row r="320" spans="1:26" hidden="1" outlineLevel="2">
      <c r="A320" s="19"/>
      <c r="B320" s="74"/>
      <c r="C320" s="207"/>
      <c r="D320" s="208"/>
      <c r="E320" s="133"/>
      <c r="F320" s="261"/>
      <c r="G320" s="138"/>
      <c r="H320" s="135"/>
      <c r="I320" s="206"/>
      <c r="J320" s="206"/>
      <c r="K320" s="206"/>
      <c r="L320" s="137"/>
      <c r="M320" s="163"/>
      <c r="N320" s="163"/>
      <c r="O320" s="288"/>
      <c r="P320" s="290"/>
      <c r="Q320" s="236">
        <f t="shared" si="98"/>
        <v>0</v>
      </c>
      <c r="R320" s="236">
        <f t="shared" si="99"/>
        <v>0</v>
      </c>
      <c r="S320" s="236"/>
      <c r="T320" s="236"/>
      <c r="U320" s="236">
        <f t="shared" si="100"/>
        <v>0</v>
      </c>
      <c r="V320" s="236"/>
      <c r="W320" s="232">
        <f t="shared" si="101"/>
        <v>0</v>
      </c>
      <c r="X320" s="236"/>
      <c r="Y320" s="236"/>
      <c r="Z320" s="236"/>
    </row>
    <row r="321" spans="1:26" hidden="1" outlineLevel="2">
      <c r="A321" s="160"/>
      <c r="B321" s="74"/>
      <c r="C321" s="207"/>
      <c r="D321" s="208"/>
      <c r="E321" s="133"/>
      <c r="F321" s="261"/>
      <c r="G321" s="138"/>
      <c r="H321" s="139"/>
      <c r="I321" s="206"/>
      <c r="J321" s="206"/>
      <c r="K321" s="206"/>
      <c r="L321" s="137"/>
      <c r="M321" s="74"/>
      <c r="N321" s="74"/>
      <c r="O321" s="19"/>
      <c r="P321" s="290"/>
      <c r="Q321" s="236">
        <f t="shared" si="98"/>
        <v>0</v>
      </c>
      <c r="R321" s="236">
        <f t="shared" si="99"/>
        <v>0</v>
      </c>
      <c r="S321" s="235"/>
      <c r="T321" s="235"/>
      <c r="U321" s="236">
        <f t="shared" si="100"/>
        <v>0</v>
      </c>
      <c r="V321" s="235"/>
      <c r="W321" s="232">
        <f t="shared" si="101"/>
        <v>0</v>
      </c>
      <c r="X321" s="235"/>
      <c r="Y321" s="235"/>
      <c r="Z321" s="235"/>
    </row>
    <row r="322" spans="1:26" hidden="1" outlineLevel="2">
      <c r="A322" s="160"/>
      <c r="B322" s="74"/>
      <c r="C322" s="207"/>
      <c r="D322" s="208"/>
      <c r="E322" s="133"/>
      <c r="F322" s="261"/>
      <c r="G322" s="138"/>
      <c r="H322" s="139"/>
      <c r="I322" s="206"/>
      <c r="J322" s="206"/>
      <c r="K322" s="206"/>
      <c r="L322" s="137"/>
      <c r="M322" s="74"/>
      <c r="N322" s="19"/>
      <c r="O322" s="19"/>
      <c r="P322" s="290"/>
      <c r="Q322" s="236">
        <f t="shared" si="98"/>
        <v>0</v>
      </c>
      <c r="R322" s="236">
        <f t="shared" si="99"/>
        <v>0</v>
      </c>
      <c r="S322" s="235"/>
      <c r="T322" s="235"/>
      <c r="U322" s="236">
        <f t="shared" si="100"/>
        <v>0</v>
      </c>
      <c r="V322" s="235"/>
      <c r="W322" s="232">
        <f t="shared" si="101"/>
        <v>0</v>
      </c>
      <c r="X322" s="235"/>
      <c r="Y322" s="235"/>
      <c r="Z322" s="235"/>
    </row>
    <row r="323" spans="1:26" hidden="1" outlineLevel="2">
      <c r="A323" s="160"/>
      <c r="B323" s="74"/>
      <c r="C323" s="207"/>
      <c r="D323" s="208"/>
      <c r="E323" s="133"/>
      <c r="F323" s="261"/>
      <c r="G323" s="138"/>
      <c r="H323" s="139"/>
      <c r="I323" s="206"/>
      <c r="J323" s="206"/>
      <c r="K323" s="206"/>
      <c r="L323" s="137"/>
      <c r="M323" s="74"/>
      <c r="N323" s="19"/>
      <c r="O323" s="19"/>
      <c r="P323" s="290"/>
      <c r="Q323" s="236">
        <f t="shared" si="98"/>
        <v>0</v>
      </c>
      <c r="R323" s="236">
        <f>SUM(S323:T323)</f>
        <v>0</v>
      </c>
      <c r="S323" s="235"/>
      <c r="T323" s="235"/>
      <c r="U323" s="236">
        <f t="shared" si="100"/>
        <v>0</v>
      </c>
      <c r="V323" s="235"/>
      <c r="W323" s="232">
        <f t="shared" si="101"/>
        <v>0</v>
      </c>
      <c r="X323" s="235"/>
      <c r="Y323" s="235"/>
      <c r="Z323" s="235"/>
    </row>
    <row r="324" spans="1:26" hidden="1" outlineLevel="2">
      <c r="A324" s="164"/>
      <c r="B324" s="351"/>
      <c r="C324" s="227"/>
      <c r="D324" s="228"/>
      <c r="E324" s="165"/>
      <c r="F324" s="279"/>
      <c r="G324" s="166"/>
      <c r="H324" s="167"/>
      <c r="I324" s="229"/>
      <c r="J324" s="229"/>
      <c r="K324" s="229"/>
      <c r="L324" s="230"/>
      <c r="M324" s="351"/>
      <c r="N324" s="168"/>
      <c r="O324" s="168"/>
      <c r="P324" s="291"/>
      <c r="Q324" s="233"/>
      <c r="R324" s="233"/>
      <c r="S324" s="233"/>
      <c r="T324" s="233"/>
      <c r="U324" s="233"/>
      <c r="V324" s="233"/>
      <c r="W324" s="233"/>
      <c r="X324" s="233"/>
      <c r="Y324" s="233"/>
      <c r="Z324" s="233"/>
    </row>
    <row r="325" spans="1:26" s="75" customFormat="1" outlineLevel="1" collapsed="1">
      <c r="A325" s="237"/>
      <c r="B325" s="238"/>
      <c r="C325" s="239"/>
      <c r="D325" s="240"/>
      <c r="E325" s="241"/>
      <c r="F325" s="264"/>
      <c r="G325" s="242"/>
      <c r="H325" s="243"/>
      <c r="I325" s="244"/>
      <c r="J325" s="244"/>
      <c r="K325" s="244"/>
      <c r="L325" s="150" t="str">
        <f>CONCATENATE(L326," ",N326,M326," ",L327," ",N327,M327," "," ",L328," ",N328,M328," ",L329," ",N329,M329," ",L330," ",N330,M330," ",L331," ",N331,M331," ",L332," ",N332,M332," ",L333," ",N333,M333)</f>
        <v xml:space="preserve">                </v>
      </c>
      <c r="M325" s="243"/>
      <c r="N325" s="243"/>
      <c r="O325" s="287">
        <f>SUM(O326:O333)</f>
        <v>0</v>
      </c>
      <c r="P325" s="289"/>
      <c r="Q325" s="246">
        <f>SUM(Q326:Q333)</f>
        <v>0</v>
      </c>
      <c r="R325" s="246">
        <f t="shared" ref="R325:Y325" si="102">SUM(R326:R333)</f>
        <v>0</v>
      </c>
      <c r="S325" s="246">
        <f t="shared" si="102"/>
        <v>0</v>
      </c>
      <c r="T325" s="246">
        <f t="shared" si="102"/>
        <v>0</v>
      </c>
      <c r="U325" s="246">
        <f t="shared" si="102"/>
        <v>0</v>
      </c>
      <c r="V325" s="246">
        <f t="shared" si="102"/>
        <v>0</v>
      </c>
      <c r="W325" s="246">
        <f t="shared" si="102"/>
        <v>0</v>
      </c>
      <c r="X325" s="246">
        <f t="shared" si="102"/>
        <v>0</v>
      </c>
      <c r="Y325" s="246">
        <f t="shared" si="102"/>
        <v>0</v>
      </c>
      <c r="Z325" s="246">
        <f>SUM(Z326:Z333)</f>
        <v>0</v>
      </c>
    </row>
    <row r="326" spans="1:26" hidden="1" outlineLevel="2">
      <c r="A326" s="19"/>
      <c r="B326" s="74"/>
      <c r="C326" s="207"/>
      <c r="D326" s="208"/>
      <c r="E326" s="133"/>
      <c r="F326" s="261"/>
      <c r="G326" s="138"/>
      <c r="H326" s="135"/>
      <c r="I326" s="206"/>
      <c r="J326" s="206"/>
      <c r="K326" s="206"/>
      <c r="L326" s="137"/>
      <c r="M326" s="163"/>
      <c r="N326" s="163"/>
      <c r="O326" s="288"/>
      <c r="P326" s="290"/>
      <c r="Q326" s="236">
        <f>SUM(R326,U326)</f>
        <v>0</v>
      </c>
      <c r="R326" s="236">
        <f>SUM(S326:T326)</f>
        <v>0</v>
      </c>
      <c r="S326" s="236"/>
      <c r="T326" s="236"/>
      <c r="U326" s="236">
        <f>SUM(V326:Y326)</f>
        <v>0</v>
      </c>
      <c r="V326" s="236"/>
      <c r="W326" s="232">
        <f>V326*0.304</f>
        <v>0</v>
      </c>
      <c r="X326" s="236"/>
      <c r="Y326" s="236"/>
      <c r="Z326" s="236"/>
    </row>
    <row r="327" spans="1:26" hidden="1" outlineLevel="2">
      <c r="A327" s="19"/>
      <c r="B327" s="74"/>
      <c r="C327" s="207"/>
      <c r="D327" s="208"/>
      <c r="E327" s="133"/>
      <c r="F327" s="261"/>
      <c r="G327" s="138"/>
      <c r="H327" s="135"/>
      <c r="I327" s="206"/>
      <c r="J327" s="206"/>
      <c r="K327" s="206"/>
      <c r="L327" s="137"/>
      <c r="M327" s="163"/>
      <c r="N327" s="163"/>
      <c r="O327" s="288"/>
      <c r="P327" s="290"/>
      <c r="Q327" s="236">
        <f t="shared" ref="Q327:Q333" si="103">SUM(R327,U327)</f>
        <v>0</v>
      </c>
      <c r="R327" s="236">
        <f t="shared" ref="R327:R332" si="104">SUM(S327:T327)</f>
        <v>0</v>
      </c>
      <c r="S327" s="236"/>
      <c r="T327" s="236"/>
      <c r="U327" s="236">
        <f t="shared" ref="U327:U333" si="105">SUM(V327:Y327)</f>
        <v>0</v>
      </c>
      <c r="V327" s="236"/>
      <c r="W327" s="232">
        <f t="shared" ref="W327:W333" si="106">V327*0.304</f>
        <v>0</v>
      </c>
      <c r="X327" s="236"/>
      <c r="Y327" s="236"/>
      <c r="Z327" s="236"/>
    </row>
    <row r="328" spans="1:26" hidden="1" outlineLevel="2">
      <c r="A328" s="19"/>
      <c r="B328" s="74"/>
      <c r="C328" s="207"/>
      <c r="D328" s="208"/>
      <c r="E328" s="133"/>
      <c r="F328" s="261"/>
      <c r="G328" s="138"/>
      <c r="H328" s="135"/>
      <c r="I328" s="206"/>
      <c r="J328" s="206"/>
      <c r="K328" s="206"/>
      <c r="L328" s="137"/>
      <c r="M328" s="163"/>
      <c r="N328" s="163"/>
      <c r="O328" s="288"/>
      <c r="P328" s="290"/>
      <c r="Q328" s="236">
        <f t="shared" si="103"/>
        <v>0</v>
      </c>
      <c r="R328" s="236">
        <f t="shared" si="104"/>
        <v>0</v>
      </c>
      <c r="S328" s="236"/>
      <c r="T328" s="236"/>
      <c r="U328" s="236">
        <f t="shared" si="105"/>
        <v>0</v>
      </c>
      <c r="V328" s="236"/>
      <c r="W328" s="232">
        <f t="shared" si="106"/>
        <v>0</v>
      </c>
      <c r="X328" s="236"/>
      <c r="Y328" s="236"/>
      <c r="Z328" s="236"/>
    </row>
    <row r="329" spans="1:26" hidden="1" outlineLevel="2">
      <c r="A329" s="19"/>
      <c r="B329" s="74"/>
      <c r="C329" s="207"/>
      <c r="D329" s="208"/>
      <c r="E329" s="133"/>
      <c r="F329" s="261"/>
      <c r="G329" s="138"/>
      <c r="H329" s="135"/>
      <c r="I329" s="206"/>
      <c r="J329" s="206"/>
      <c r="K329" s="206"/>
      <c r="L329" s="137"/>
      <c r="M329" s="163"/>
      <c r="N329" s="163"/>
      <c r="O329" s="288"/>
      <c r="P329" s="290"/>
      <c r="Q329" s="236">
        <f t="shared" si="103"/>
        <v>0</v>
      </c>
      <c r="R329" s="236">
        <f t="shared" si="104"/>
        <v>0</v>
      </c>
      <c r="S329" s="236"/>
      <c r="T329" s="236"/>
      <c r="U329" s="236">
        <f t="shared" si="105"/>
        <v>0</v>
      </c>
      <c r="V329" s="236"/>
      <c r="W329" s="232">
        <f t="shared" si="106"/>
        <v>0</v>
      </c>
      <c r="X329" s="236"/>
      <c r="Y329" s="236"/>
      <c r="Z329" s="236"/>
    </row>
    <row r="330" spans="1:26" hidden="1" outlineLevel="2">
      <c r="A330" s="19"/>
      <c r="B330" s="74"/>
      <c r="C330" s="207"/>
      <c r="D330" s="208"/>
      <c r="E330" s="133"/>
      <c r="F330" s="261"/>
      <c r="G330" s="138"/>
      <c r="H330" s="135"/>
      <c r="I330" s="206"/>
      <c r="J330" s="206"/>
      <c r="K330" s="206"/>
      <c r="L330" s="137"/>
      <c r="M330" s="163"/>
      <c r="N330" s="163"/>
      <c r="O330" s="288"/>
      <c r="P330" s="290"/>
      <c r="Q330" s="236">
        <f t="shared" si="103"/>
        <v>0</v>
      </c>
      <c r="R330" s="236">
        <f t="shared" si="104"/>
        <v>0</v>
      </c>
      <c r="S330" s="236"/>
      <c r="T330" s="236"/>
      <c r="U330" s="236">
        <f t="shared" si="105"/>
        <v>0</v>
      </c>
      <c r="V330" s="236"/>
      <c r="W330" s="232">
        <f t="shared" si="106"/>
        <v>0</v>
      </c>
      <c r="X330" s="236"/>
      <c r="Y330" s="236"/>
      <c r="Z330" s="236"/>
    </row>
    <row r="331" spans="1:26" hidden="1" outlineLevel="2">
      <c r="A331" s="160"/>
      <c r="B331" s="74"/>
      <c r="C331" s="207"/>
      <c r="D331" s="208"/>
      <c r="E331" s="133"/>
      <c r="F331" s="261"/>
      <c r="G331" s="138"/>
      <c r="H331" s="139"/>
      <c r="I331" s="206"/>
      <c r="J331" s="206"/>
      <c r="K331" s="206"/>
      <c r="L331" s="137"/>
      <c r="M331" s="74"/>
      <c r="N331" s="74"/>
      <c r="O331" s="19"/>
      <c r="P331" s="290"/>
      <c r="Q331" s="236">
        <f t="shared" si="103"/>
        <v>0</v>
      </c>
      <c r="R331" s="236">
        <f t="shared" si="104"/>
        <v>0</v>
      </c>
      <c r="S331" s="235"/>
      <c r="T331" s="235"/>
      <c r="U331" s="236">
        <f t="shared" si="105"/>
        <v>0</v>
      </c>
      <c r="V331" s="235"/>
      <c r="W331" s="232">
        <f t="shared" si="106"/>
        <v>0</v>
      </c>
      <c r="X331" s="235"/>
      <c r="Y331" s="235"/>
      <c r="Z331" s="235"/>
    </row>
    <row r="332" spans="1:26" hidden="1" outlineLevel="2">
      <c r="A332" s="160"/>
      <c r="B332" s="74"/>
      <c r="C332" s="207"/>
      <c r="D332" s="208"/>
      <c r="E332" s="133"/>
      <c r="F332" s="261"/>
      <c r="G332" s="138"/>
      <c r="H332" s="139"/>
      <c r="I332" s="206"/>
      <c r="J332" s="206"/>
      <c r="K332" s="206"/>
      <c r="L332" s="137"/>
      <c r="M332" s="74"/>
      <c r="N332" s="19"/>
      <c r="O332" s="19"/>
      <c r="P332" s="290"/>
      <c r="Q332" s="236">
        <f t="shared" si="103"/>
        <v>0</v>
      </c>
      <c r="R332" s="236">
        <f t="shared" si="104"/>
        <v>0</v>
      </c>
      <c r="S332" s="235"/>
      <c r="T332" s="235"/>
      <c r="U332" s="236">
        <f t="shared" si="105"/>
        <v>0</v>
      </c>
      <c r="V332" s="235"/>
      <c r="W332" s="232">
        <f t="shared" si="106"/>
        <v>0</v>
      </c>
      <c r="X332" s="235"/>
      <c r="Y332" s="235"/>
      <c r="Z332" s="235"/>
    </row>
    <row r="333" spans="1:26" hidden="1" outlineLevel="2">
      <c r="A333" s="160"/>
      <c r="B333" s="74"/>
      <c r="C333" s="207"/>
      <c r="D333" s="208"/>
      <c r="E333" s="133"/>
      <c r="F333" s="261"/>
      <c r="G333" s="138"/>
      <c r="H333" s="139"/>
      <c r="I333" s="206"/>
      <c r="J333" s="206"/>
      <c r="K333" s="206"/>
      <c r="L333" s="137"/>
      <c r="M333" s="74"/>
      <c r="N333" s="19"/>
      <c r="O333" s="19"/>
      <c r="P333" s="290"/>
      <c r="Q333" s="236">
        <f t="shared" si="103"/>
        <v>0</v>
      </c>
      <c r="R333" s="236">
        <f>SUM(S333:T333)</f>
        <v>0</v>
      </c>
      <c r="S333" s="235"/>
      <c r="T333" s="235"/>
      <c r="U333" s="236">
        <f t="shared" si="105"/>
        <v>0</v>
      </c>
      <c r="V333" s="235"/>
      <c r="W333" s="232">
        <f t="shared" si="106"/>
        <v>0</v>
      </c>
      <c r="X333" s="235"/>
      <c r="Y333" s="235"/>
      <c r="Z333" s="235"/>
    </row>
    <row r="334" spans="1:26" hidden="1" outlineLevel="2">
      <c r="A334" s="164"/>
      <c r="B334" s="351"/>
      <c r="C334" s="227"/>
      <c r="D334" s="228"/>
      <c r="E334" s="165"/>
      <c r="F334" s="279"/>
      <c r="G334" s="166"/>
      <c r="H334" s="167"/>
      <c r="I334" s="229"/>
      <c r="J334" s="229"/>
      <c r="K334" s="229"/>
      <c r="L334" s="230"/>
      <c r="M334" s="351"/>
      <c r="N334" s="168"/>
      <c r="O334" s="168"/>
      <c r="P334" s="291"/>
      <c r="Q334" s="233"/>
      <c r="R334" s="233"/>
      <c r="S334" s="233"/>
      <c r="T334" s="233"/>
      <c r="U334" s="233"/>
      <c r="V334" s="233"/>
      <c r="W334" s="233"/>
      <c r="X334" s="233"/>
      <c r="Y334" s="233"/>
      <c r="Z334" s="233"/>
    </row>
    <row r="335" spans="1:26" s="75" customFormat="1" outlineLevel="1" collapsed="1">
      <c r="A335" s="237"/>
      <c r="B335" s="238"/>
      <c r="C335" s="239"/>
      <c r="D335" s="240"/>
      <c r="E335" s="241"/>
      <c r="F335" s="264"/>
      <c r="G335" s="242"/>
      <c r="H335" s="243"/>
      <c r="I335" s="244"/>
      <c r="J335" s="244"/>
      <c r="K335" s="244"/>
      <c r="L335" s="150" t="str">
        <f>CONCATENATE(L336," ",N336,M336," ",L337," ",N337,M337," "," ",L338," ",N338,M338," ",L339," ",N339,M339," ",L340," ",N340,M340," ",L341," ",N341,M341," ",L342," ",N342,M342," ",L343," ",N343,M343)</f>
        <v xml:space="preserve">                </v>
      </c>
      <c r="M335" s="243"/>
      <c r="N335" s="243"/>
      <c r="O335" s="287">
        <f>SUM(O336:O343)</f>
        <v>0</v>
      </c>
      <c r="P335" s="289"/>
      <c r="Q335" s="246">
        <f>SUM(Q336:Q343)</f>
        <v>0</v>
      </c>
      <c r="R335" s="246">
        <f t="shared" ref="R335:Y335" si="107">SUM(R336:R343)</f>
        <v>0</v>
      </c>
      <c r="S335" s="246">
        <f t="shared" si="107"/>
        <v>0</v>
      </c>
      <c r="T335" s="246">
        <f t="shared" si="107"/>
        <v>0</v>
      </c>
      <c r="U335" s="246">
        <f t="shared" si="107"/>
        <v>0</v>
      </c>
      <c r="V335" s="246">
        <f t="shared" si="107"/>
        <v>0</v>
      </c>
      <c r="W335" s="246">
        <f t="shared" si="107"/>
        <v>0</v>
      </c>
      <c r="X335" s="246">
        <f t="shared" si="107"/>
        <v>0</v>
      </c>
      <c r="Y335" s="246">
        <f t="shared" si="107"/>
        <v>0</v>
      </c>
      <c r="Z335" s="246">
        <f>SUM(Z336:Z343)</f>
        <v>0</v>
      </c>
    </row>
    <row r="336" spans="1:26" hidden="1" outlineLevel="2">
      <c r="A336" s="19"/>
      <c r="B336" s="74"/>
      <c r="C336" s="207"/>
      <c r="D336" s="208"/>
      <c r="E336" s="133"/>
      <c r="F336" s="261"/>
      <c r="G336" s="138"/>
      <c r="H336" s="135"/>
      <c r="I336" s="206"/>
      <c r="J336" s="206"/>
      <c r="K336" s="206"/>
      <c r="L336" s="137"/>
      <c r="M336" s="163"/>
      <c r="N336" s="163"/>
      <c r="O336" s="288"/>
      <c r="P336" s="290"/>
      <c r="Q336" s="236">
        <f>SUM(R336,U336)</f>
        <v>0</v>
      </c>
      <c r="R336" s="236">
        <f>SUM(S336:T336)</f>
        <v>0</v>
      </c>
      <c r="S336" s="236"/>
      <c r="T336" s="236"/>
      <c r="U336" s="236">
        <f>SUM(V336:Y336)</f>
        <v>0</v>
      </c>
      <c r="V336" s="236"/>
      <c r="W336" s="232">
        <f>V336*0.304</f>
        <v>0</v>
      </c>
      <c r="X336" s="236"/>
      <c r="Y336" s="236"/>
      <c r="Z336" s="236"/>
    </row>
    <row r="337" spans="1:26" hidden="1" outlineLevel="2">
      <c r="A337" s="19"/>
      <c r="B337" s="74"/>
      <c r="C337" s="207"/>
      <c r="D337" s="208"/>
      <c r="E337" s="133"/>
      <c r="F337" s="261"/>
      <c r="G337" s="138"/>
      <c r="H337" s="135"/>
      <c r="I337" s="206"/>
      <c r="J337" s="206"/>
      <c r="K337" s="206"/>
      <c r="L337" s="137"/>
      <c r="M337" s="163"/>
      <c r="N337" s="163"/>
      <c r="O337" s="288"/>
      <c r="P337" s="290"/>
      <c r="Q337" s="236">
        <f t="shared" ref="Q337:Q343" si="108">SUM(R337,U337)</f>
        <v>0</v>
      </c>
      <c r="R337" s="236">
        <f t="shared" ref="R337:R342" si="109">SUM(S337:T337)</f>
        <v>0</v>
      </c>
      <c r="S337" s="236"/>
      <c r="T337" s="236"/>
      <c r="U337" s="236">
        <f t="shared" ref="U337:U343" si="110">SUM(V337:Y337)</f>
        <v>0</v>
      </c>
      <c r="V337" s="236"/>
      <c r="W337" s="232">
        <f t="shared" ref="W337:W343" si="111">V337*0.304</f>
        <v>0</v>
      </c>
      <c r="X337" s="236"/>
      <c r="Y337" s="236"/>
      <c r="Z337" s="236"/>
    </row>
    <row r="338" spans="1:26" hidden="1" outlineLevel="2">
      <c r="A338" s="19"/>
      <c r="B338" s="74"/>
      <c r="C338" s="207"/>
      <c r="D338" s="208"/>
      <c r="E338" s="133"/>
      <c r="F338" s="261"/>
      <c r="G338" s="138"/>
      <c r="H338" s="135"/>
      <c r="I338" s="206"/>
      <c r="J338" s="206"/>
      <c r="K338" s="206"/>
      <c r="L338" s="137"/>
      <c r="M338" s="163"/>
      <c r="N338" s="163"/>
      <c r="O338" s="288"/>
      <c r="P338" s="290"/>
      <c r="Q338" s="236">
        <f t="shared" si="108"/>
        <v>0</v>
      </c>
      <c r="R338" s="236">
        <f t="shared" si="109"/>
        <v>0</v>
      </c>
      <c r="S338" s="236"/>
      <c r="T338" s="236"/>
      <c r="U338" s="236">
        <f t="shared" si="110"/>
        <v>0</v>
      </c>
      <c r="V338" s="236"/>
      <c r="W338" s="232">
        <f t="shared" si="111"/>
        <v>0</v>
      </c>
      <c r="X338" s="236"/>
      <c r="Y338" s="236"/>
      <c r="Z338" s="236"/>
    </row>
    <row r="339" spans="1:26" hidden="1" outlineLevel="2">
      <c r="A339" s="19"/>
      <c r="B339" s="74"/>
      <c r="C339" s="207"/>
      <c r="D339" s="208"/>
      <c r="E339" s="133"/>
      <c r="F339" s="261"/>
      <c r="G339" s="138"/>
      <c r="H339" s="135"/>
      <c r="I339" s="206"/>
      <c r="J339" s="206"/>
      <c r="K339" s="206"/>
      <c r="L339" s="137"/>
      <c r="M339" s="163"/>
      <c r="N339" s="163"/>
      <c r="O339" s="288"/>
      <c r="P339" s="290"/>
      <c r="Q339" s="236">
        <f t="shared" si="108"/>
        <v>0</v>
      </c>
      <c r="R339" s="236">
        <f t="shared" si="109"/>
        <v>0</v>
      </c>
      <c r="S339" s="236"/>
      <c r="T339" s="236"/>
      <c r="U339" s="236">
        <f t="shared" si="110"/>
        <v>0</v>
      </c>
      <c r="V339" s="236"/>
      <c r="W339" s="232">
        <f t="shared" si="111"/>
        <v>0</v>
      </c>
      <c r="X339" s="236"/>
      <c r="Y339" s="236"/>
      <c r="Z339" s="236"/>
    </row>
    <row r="340" spans="1:26" hidden="1" outlineLevel="2">
      <c r="A340" s="19"/>
      <c r="B340" s="74"/>
      <c r="C340" s="207"/>
      <c r="D340" s="208"/>
      <c r="E340" s="133"/>
      <c r="F340" s="261"/>
      <c r="G340" s="138"/>
      <c r="H340" s="135"/>
      <c r="I340" s="206"/>
      <c r="J340" s="206"/>
      <c r="K340" s="206"/>
      <c r="L340" s="137"/>
      <c r="M340" s="163"/>
      <c r="N340" s="163"/>
      <c r="O340" s="288"/>
      <c r="P340" s="290"/>
      <c r="Q340" s="236">
        <f t="shared" si="108"/>
        <v>0</v>
      </c>
      <c r="R340" s="236">
        <f t="shared" si="109"/>
        <v>0</v>
      </c>
      <c r="S340" s="236"/>
      <c r="T340" s="236"/>
      <c r="U340" s="236">
        <f t="shared" si="110"/>
        <v>0</v>
      </c>
      <c r="V340" s="236"/>
      <c r="W340" s="232">
        <f t="shared" si="111"/>
        <v>0</v>
      </c>
      <c r="X340" s="236"/>
      <c r="Y340" s="236"/>
      <c r="Z340" s="236"/>
    </row>
    <row r="341" spans="1:26" hidden="1" outlineLevel="2">
      <c r="A341" s="160"/>
      <c r="B341" s="74"/>
      <c r="C341" s="207"/>
      <c r="D341" s="208"/>
      <c r="E341" s="133"/>
      <c r="F341" s="261"/>
      <c r="G341" s="138"/>
      <c r="H341" s="139"/>
      <c r="I341" s="206"/>
      <c r="J341" s="206"/>
      <c r="K341" s="206"/>
      <c r="L341" s="137"/>
      <c r="M341" s="74"/>
      <c r="N341" s="74"/>
      <c r="O341" s="19"/>
      <c r="P341" s="290"/>
      <c r="Q341" s="236">
        <f t="shared" si="108"/>
        <v>0</v>
      </c>
      <c r="R341" s="236">
        <f t="shared" si="109"/>
        <v>0</v>
      </c>
      <c r="S341" s="235"/>
      <c r="T341" s="235"/>
      <c r="U341" s="236">
        <f t="shared" si="110"/>
        <v>0</v>
      </c>
      <c r="V341" s="235"/>
      <c r="W341" s="232">
        <f t="shared" si="111"/>
        <v>0</v>
      </c>
      <c r="X341" s="235"/>
      <c r="Y341" s="235"/>
      <c r="Z341" s="235"/>
    </row>
    <row r="342" spans="1:26" hidden="1" outlineLevel="2">
      <c r="A342" s="160"/>
      <c r="B342" s="74"/>
      <c r="C342" s="207"/>
      <c r="D342" s="208"/>
      <c r="E342" s="133"/>
      <c r="F342" s="261"/>
      <c r="G342" s="138"/>
      <c r="H342" s="139"/>
      <c r="I342" s="206"/>
      <c r="J342" s="206"/>
      <c r="K342" s="206"/>
      <c r="L342" s="137"/>
      <c r="M342" s="74"/>
      <c r="N342" s="19"/>
      <c r="O342" s="19"/>
      <c r="P342" s="290"/>
      <c r="Q342" s="236">
        <f t="shared" si="108"/>
        <v>0</v>
      </c>
      <c r="R342" s="236">
        <f t="shared" si="109"/>
        <v>0</v>
      </c>
      <c r="S342" s="235"/>
      <c r="T342" s="235"/>
      <c r="U342" s="236">
        <f t="shared" si="110"/>
        <v>0</v>
      </c>
      <c r="V342" s="235"/>
      <c r="W342" s="232">
        <f t="shared" si="111"/>
        <v>0</v>
      </c>
      <c r="X342" s="235"/>
      <c r="Y342" s="235"/>
      <c r="Z342" s="235"/>
    </row>
    <row r="343" spans="1:26" hidden="1" outlineLevel="2">
      <c r="A343" s="160"/>
      <c r="B343" s="74"/>
      <c r="C343" s="207"/>
      <c r="D343" s="208"/>
      <c r="E343" s="133"/>
      <c r="F343" s="261"/>
      <c r="G343" s="138"/>
      <c r="H343" s="139"/>
      <c r="I343" s="206"/>
      <c r="J343" s="206"/>
      <c r="K343" s="206"/>
      <c r="L343" s="137"/>
      <c r="M343" s="74"/>
      <c r="N343" s="19"/>
      <c r="O343" s="19"/>
      <c r="P343" s="290"/>
      <c r="Q343" s="236">
        <f t="shared" si="108"/>
        <v>0</v>
      </c>
      <c r="R343" s="236">
        <f>SUM(S343:T343)</f>
        <v>0</v>
      </c>
      <c r="S343" s="235"/>
      <c r="T343" s="235"/>
      <c r="U343" s="236">
        <f t="shared" si="110"/>
        <v>0</v>
      </c>
      <c r="V343" s="235"/>
      <c r="W343" s="232">
        <f t="shared" si="111"/>
        <v>0</v>
      </c>
      <c r="X343" s="235"/>
      <c r="Y343" s="235"/>
      <c r="Z343" s="235"/>
    </row>
    <row r="344" spans="1:26" hidden="1" outlineLevel="2">
      <c r="A344" s="164"/>
      <c r="B344" s="351"/>
      <c r="C344" s="227"/>
      <c r="D344" s="228"/>
      <c r="E344" s="165"/>
      <c r="F344" s="279"/>
      <c r="G344" s="166"/>
      <c r="H344" s="167"/>
      <c r="I344" s="229"/>
      <c r="J344" s="229"/>
      <c r="K344" s="229"/>
      <c r="L344" s="230"/>
      <c r="M344" s="351"/>
      <c r="N344" s="168"/>
      <c r="O344" s="168"/>
      <c r="P344" s="291"/>
      <c r="Q344" s="233"/>
      <c r="R344" s="233"/>
      <c r="S344" s="233"/>
      <c r="T344" s="233"/>
      <c r="U344" s="233"/>
      <c r="V344" s="233"/>
      <c r="W344" s="233"/>
      <c r="X344" s="233"/>
      <c r="Y344" s="233"/>
      <c r="Z344" s="233"/>
    </row>
    <row r="345" spans="1:26" s="75" customFormat="1" outlineLevel="1" collapsed="1">
      <c r="A345" s="237"/>
      <c r="B345" s="238"/>
      <c r="C345" s="239"/>
      <c r="D345" s="240"/>
      <c r="E345" s="241"/>
      <c r="F345" s="264"/>
      <c r="G345" s="242"/>
      <c r="H345" s="243"/>
      <c r="I345" s="244"/>
      <c r="J345" s="244"/>
      <c r="K345" s="244"/>
      <c r="L345" s="150" t="str">
        <f>CONCATENATE(L346," ",N346,M346," ",L347," ",N347,M347," "," ",L348," ",N348,M348," ",L349," ",N349,M349," ",L350," ",N350,M350," ",L351," ",N351,M351," ",L352," ",N352,M352," ",L353," ",N353,M353)</f>
        <v xml:space="preserve">                </v>
      </c>
      <c r="M345" s="243"/>
      <c r="N345" s="243"/>
      <c r="O345" s="287">
        <f>SUM(O346:O353)</f>
        <v>0</v>
      </c>
      <c r="P345" s="289"/>
      <c r="Q345" s="246">
        <f>SUM(Q346:Q353)</f>
        <v>0</v>
      </c>
      <c r="R345" s="246">
        <f t="shared" ref="R345:Y345" si="112">SUM(R346:R353)</f>
        <v>0</v>
      </c>
      <c r="S345" s="246">
        <f t="shared" si="112"/>
        <v>0</v>
      </c>
      <c r="T345" s="246">
        <f t="shared" si="112"/>
        <v>0</v>
      </c>
      <c r="U345" s="246">
        <f t="shared" si="112"/>
        <v>0</v>
      </c>
      <c r="V345" s="246">
        <f t="shared" si="112"/>
        <v>0</v>
      </c>
      <c r="W345" s="246">
        <f t="shared" si="112"/>
        <v>0</v>
      </c>
      <c r="X345" s="246">
        <f t="shared" si="112"/>
        <v>0</v>
      </c>
      <c r="Y345" s="246">
        <f t="shared" si="112"/>
        <v>0</v>
      </c>
      <c r="Z345" s="246">
        <f>SUM(Z346:Z353)</f>
        <v>0</v>
      </c>
    </row>
    <row r="346" spans="1:26" hidden="1" outlineLevel="2">
      <c r="A346" s="19"/>
      <c r="B346" s="74"/>
      <c r="C346" s="207"/>
      <c r="D346" s="208"/>
      <c r="E346" s="133"/>
      <c r="F346" s="261"/>
      <c r="G346" s="138"/>
      <c r="H346" s="135"/>
      <c r="I346" s="206"/>
      <c r="J346" s="206"/>
      <c r="K346" s="206"/>
      <c r="L346" s="137"/>
      <c r="M346" s="163"/>
      <c r="N346" s="163"/>
      <c r="O346" s="288"/>
      <c r="P346" s="290"/>
      <c r="Q346" s="236">
        <f>SUM(R346,U346)</f>
        <v>0</v>
      </c>
      <c r="R346" s="236">
        <f>SUM(S346:T346)</f>
        <v>0</v>
      </c>
      <c r="S346" s="236"/>
      <c r="T346" s="236"/>
      <c r="U346" s="236">
        <f>SUM(V346:Y346)</f>
        <v>0</v>
      </c>
      <c r="V346" s="236"/>
      <c r="W346" s="232">
        <f>V346*0.304</f>
        <v>0</v>
      </c>
      <c r="X346" s="236"/>
      <c r="Y346" s="236"/>
      <c r="Z346" s="236"/>
    </row>
    <row r="347" spans="1:26" hidden="1" outlineLevel="2">
      <c r="A347" s="19"/>
      <c r="B347" s="74"/>
      <c r="C347" s="207"/>
      <c r="D347" s="208"/>
      <c r="E347" s="133"/>
      <c r="F347" s="261"/>
      <c r="G347" s="138"/>
      <c r="H347" s="135"/>
      <c r="I347" s="206"/>
      <c r="J347" s="206"/>
      <c r="K347" s="206"/>
      <c r="L347" s="137"/>
      <c r="M347" s="163"/>
      <c r="N347" s="163"/>
      <c r="O347" s="288"/>
      <c r="P347" s="290"/>
      <c r="Q347" s="236">
        <f t="shared" ref="Q347:Q353" si="113">SUM(R347,U347)</f>
        <v>0</v>
      </c>
      <c r="R347" s="236">
        <f t="shared" ref="R347:R352" si="114">SUM(S347:T347)</f>
        <v>0</v>
      </c>
      <c r="S347" s="236"/>
      <c r="T347" s="236"/>
      <c r="U347" s="236">
        <f t="shared" ref="U347:U353" si="115">SUM(V347:Y347)</f>
        <v>0</v>
      </c>
      <c r="V347" s="236"/>
      <c r="W347" s="232">
        <f t="shared" ref="W347:W353" si="116">V347*0.304</f>
        <v>0</v>
      </c>
      <c r="X347" s="236"/>
      <c r="Y347" s="236"/>
      <c r="Z347" s="236"/>
    </row>
    <row r="348" spans="1:26" hidden="1" outlineLevel="2">
      <c r="A348" s="19"/>
      <c r="B348" s="74"/>
      <c r="C348" s="207"/>
      <c r="D348" s="208"/>
      <c r="E348" s="133"/>
      <c r="F348" s="261"/>
      <c r="G348" s="138"/>
      <c r="H348" s="135"/>
      <c r="I348" s="206"/>
      <c r="J348" s="206"/>
      <c r="K348" s="206"/>
      <c r="L348" s="137"/>
      <c r="M348" s="163"/>
      <c r="N348" s="163"/>
      <c r="O348" s="288"/>
      <c r="P348" s="290"/>
      <c r="Q348" s="236">
        <f t="shared" si="113"/>
        <v>0</v>
      </c>
      <c r="R348" s="236">
        <f t="shared" si="114"/>
        <v>0</v>
      </c>
      <c r="S348" s="236"/>
      <c r="T348" s="236"/>
      <c r="U348" s="236">
        <f t="shared" si="115"/>
        <v>0</v>
      </c>
      <c r="V348" s="236"/>
      <c r="W348" s="232">
        <f t="shared" si="116"/>
        <v>0</v>
      </c>
      <c r="X348" s="236"/>
      <c r="Y348" s="236"/>
      <c r="Z348" s="236"/>
    </row>
    <row r="349" spans="1:26" hidden="1" outlineLevel="2">
      <c r="A349" s="19"/>
      <c r="B349" s="74"/>
      <c r="C349" s="207"/>
      <c r="D349" s="208"/>
      <c r="E349" s="133"/>
      <c r="F349" s="261"/>
      <c r="G349" s="138"/>
      <c r="H349" s="135"/>
      <c r="I349" s="206"/>
      <c r="J349" s="206"/>
      <c r="K349" s="206"/>
      <c r="L349" s="137"/>
      <c r="M349" s="163"/>
      <c r="N349" s="163"/>
      <c r="O349" s="288"/>
      <c r="P349" s="290"/>
      <c r="Q349" s="236">
        <f t="shared" si="113"/>
        <v>0</v>
      </c>
      <c r="R349" s="236">
        <f t="shared" si="114"/>
        <v>0</v>
      </c>
      <c r="S349" s="236"/>
      <c r="T349" s="236"/>
      <c r="U349" s="236">
        <f t="shared" si="115"/>
        <v>0</v>
      </c>
      <c r="V349" s="236"/>
      <c r="W349" s="232">
        <f t="shared" si="116"/>
        <v>0</v>
      </c>
      <c r="X349" s="236"/>
      <c r="Y349" s="236"/>
      <c r="Z349" s="236"/>
    </row>
    <row r="350" spans="1:26" hidden="1" outlineLevel="2">
      <c r="A350" s="19"/>
      <c r="B350" s="74"/>
      <c r="C350" s="207"/>
      <c r="D350" s="208"/>
      <c r="E350" s="133"/>
      <c r="F350" s="261"/>
      <c r="G350" s="138"/>
      <c r="H350" s="135"/>
      <c r="I350" s="206"/>
      <c r="J350" s="206"/>
      <c r="K350" s="206"/>
      <c r="L350" s="137"/>
      <c r="M350" s="163"/>
      <c r="N350" s="163"/>
      <c r="O350" s="288"/>
      <c r="P350" s="290"/>
      <c r="Q350" s="236">
        <f t="shared" si="113"/>
        <v>0</v>
      </c>
      <c r="R350" s="236">
        <f t="shared" si="114"/>
        <v>0</v>
      </c>
      <c r="S350" s="236"/>
      <c r="T350" s="236"/>
      <c r="U350" s="236">
        <f t="shared" si="115"/>
        <v>0</v>
      </c>
      <c r="V350" s="236"/>
      <c r="W350" s="232">
        <f t="shared" si="116"/>
        <v>0</v>
      </c>
      <c r="X350" s="236"/>
      <c r="Y350" s="236"/>
      <c r="Z350" s="236"/>
    </row>
    <row r="351" spans="1:26" hidden="1" outlineLevel="2">
      <c r="A351" s="160"/>
      <c r="B351" s="74"/>
      <c r="C351" s="207"/>
      <c r="D351" s="208"/>
      <c r="E351" s="133"/>
      <c r="F351" s="261"/>
      <c r="G351" s="138"/>
      <c r="H351" s="139"/>
      <c r="I351" s="206"/>
      <c r="J351" s="206"/>
      <c r="K351" s="206"/>
      <c r="L351" s="137"/>
      <c r="M351" s="74"/>
      <c r="N351" s="74"/>
      <c r="O351" s="19"/>
      <c r="P351" s="290"/>
      <c r="Q351" s="236">
        <f t="shared" si="113"/>
        <v>0</v>
      </c>
      <c r="R351" s="236">
        <f t="shared" si="114"/>
        <v>0</v>
      </c>
      <c r="S351" s="235"/>
      <c r="T351" s="235"/>
      <c r="U351" s="236">
        <f t="shared" si="115"/>
        <v>0</v>
      </c>
      <c r="V351" s="235"/>
      <c r="W351" s="232">
        <f t="shared" si="116"/>
        <v>0</v>
      </c>
      <c r="X351" s="235"/>
      <c r="Y351" s="235"/>
      <c r="Z351" s="235"/>
    </row>
    <row r="352" spans="1:26" hidden="1" outlineLevel="2">
      <c r="A352" s="160"/>
      <c r="B352" s="74"/>
      <c r="C352" s="207"/>
      <c r="D352" s="208"/>
      <c r="E352" s="133"/>
      <c r="F352" s="261"/>
      <c r="G352" s="138"/>
      <c r="H352" s="139"/>
      <c r="I352" s="206"/>
      <c r="J352" s="206"/>
      <c r="K352" s="206"/>
      <c r="L352" s="137"/>
      <c r="M352" s="74"/>
      <c r="N352" s="19"/>
      <c r="O352" s="19"/>
      <c r="P352" s="290"/>
      <c r="Q352" s="236">
        <f t="shared" si="113"/>
        <v>0</v>
      </c>
      <c r="R352" s="236">
        <f t="shared" si="114"/>
        <v>0</v>
      </c>
      <c r="S352" s="235"/>
      <c r="T352" s="235"/>
      <c r="U352" s="236">
        <f t="shared" si="115"/>
        <v>0</v>
      </c>
      <c r="V352" s="235"/>
      <c r="W352" s="232">
        <f t="shared" si="116"/>
        <v>0</v>
      </c>
      <c r="X352" s="235"/>
      <c r="Y352" s="235"/>
      <c r="Z352" s="235"/>
    </row>
    <row r="353" spans="1:26" hidden="1" outlineLevel="2">
      <c r="A353" s="160"/>
      <c r="B353" s="74"/>
      <c r="C353" s="207"/>
      <c r="D353" s="208"/>
      <c r="E353" s="133"/>
      <c r="F353" s="261"/>
      <c r="G353" s="138"/>
      <c r="H353" s="139"/>
      <c r="I353" s="206"/>
      <c r="J353" s="206"/>
      <c r="K353" s="206"/>
      <c r="L353" s="137"/>
      <c r="M353" s="74"/>
      <c r="N353" s="19"/>
      <c r="O353" s="19"/>
      <c r="P353" s="290"/>
      <c r="Q353" s="236">
        <f t="shared" si="113"/>
        <v>0</v>
      </c>
      <c r="R353" s="236">
        <f>SUM(S353:T353)</f>
        <v>0</v>
      </c>
      <c r="S353" s="235"/>
      <c r="T353" s="235"/>
      <c r="U353" s="236">
        <f t="shared" si="115"/>
        <v>0</v>
      </c>
      <c r="V353" s="235"/>
      <c r="W353" s="232">
        <f t="shared" si="116"/>
        <v>0</v>
      </c>
      <c r="X353" s="235"/>
      <c r="Y353" s="235"/>
      <c r="Z353" s="235"/>
    </row>
    <row r="354" spans="1:26" hidden="1" outlineLevel="2">
      <c r="A354" s="164"/>
      <c r="B354" s="351"/>
      <c r="C354" s="227"/>
      <c r="D354" s="228"/>
      <c r="E354" s="165"/>
      <c r="F354" s="279"/>
      <c r="G354" s="166"/>
      <c r="H354" s="167"/>
      <c r="I354" s="229"/>
      <c r="J354" s="229"/>
      <c r="K354" s="229"/>
      <c r="L354" s="230"/>
      <c r="M354" s="351"/>
      <c r="N354" s="168"/>
      <c r="O354" s="168"/>
      <c r="P354" s="291"/>
      <c r="Q354" s="233"/>
      <c r="R354" s="233"/>
      <c r="S354" s="233"/>
      <c r="T354" s="233"/>
      <c r="U354" s="233"/>
      <c r="V354" s="233"/>
      <c r="W354" s="233"/>
      <c r="X354" s="233"/>
      <c r="Y354" s="233"/>
      <c r="Z354" s="233"/>
    </row>
    <row r="355" spans="1:26" s="75" customFormat="1" outlineLevel="1" collapsed="1">
      <c r="A355" s="237"/>
      <c r="B355" s="238"/>
      <c r="C355" s="239"/>
      <c r="D355" s="240"/>
      <c r="E355" s="241"/>
      <c r="F355" s="264"/>
      <c r="G355" s="242"/>
      <c r="H355" s="243"/>
      <c r="I355" s="244"/>
      <c r="J355" s="244"/>
      <c r="K355" s="244"/>
      <c r="L355" s="150" t="str">
        <f>CONCATENATE(L356," ",N356,M356," ",L357," ",N357,M357," "," ",L358," ",N358,M358," ",L359," ",N359,M359," ",L360," ",N360,M360," ",L361," ",N361,M361," ",L362," ",N362,M362," ",L363," ",N363,M363)</f>
        <v xml:space="preserve">                </v>
      </c>
      <c r="M355" s="243"/>
      <c r="N355" s="243"/>
      <c r="O355" s="287">
        <f>SUM(O356:O363)</f>
        <v>0</v>
      </c>
      <c r="P355" s="289"/>
      <c r="Q355" s="246">
        <f>SUM(Q356:Q363)</f>
        <v>0</v>
      </c>
      <c r="R355" s="246">
        <f t="shared" ref="R355:Y355" si="117">SUM(R356:R363)</f>
        <v>0</v>
      </c>
      <c r="S355" s="246">
        <f t="shared" si="117"/>
        <v>0</v>
      </c>
      <c r="T355" s="246">
        <f t="shared" si="117"/>
        <v>0</v>
      </c>
      <c r="U355" s="246">
        <f t="shared" si="117"/>
        <v>0</v>
      </c>
      <c r="V355" s="246">
        <f t="shared" si="117"/>
        <v>0</v>
      </c>
      <c r="W355" s="246">
        <f t="shared" si="117"/>
        <v>0</v>
      </c>
      <c r="X355" s="246">
        <f t="shared" si="117"/>
        <v>0</v>
      </c>
      <c r="Y355" s="246">
        <f t="shared" si="117"/>
        <v>0</v>
      </c>
      <c r="Z355" s="246">
        <f>SUM(Z356:Z363)</f>
        <v>0</v>
      </c>
    </row>
    <row r="356" spans="1:26" hidden="1" outlineLevel="2">
      <c r="A356" s="19"/>
      <c r="B356" s="74"/>
      <c r="C356" s="207"/>
      <c r="D356" s="208"/>
      <c r="E356" s="133"/>
      <c r="F356" s="261"/>
      <c r="G356" s="138"/>
      <c r="H356" s="135"/>
      <c r="I356" s="206"/>
      <c r="J356" s="206"/>
      <c r="K356" s="206"/>
      <c r="L356" s="137"/>
      <c r="M356" s="163"/>
      <c r="N356" s="163"/>
      <c r="O356" s="288"/>
      <c r="P356" s="290"/>
      <c r="Q356" s="236">
        <f>SUM(R356,U356)</f>
        <v>0</v>
      </c>
      <c r="R356" s="236">
        <f>SUM(S356:T356)</f>
        <v>0</v>
      </c>
      <c r="S356" s="236"/>
      <c r="T356" s="236"/>
      <c r="U356" s="236">
        <f>SUM(V356:Y356)</f>
        <v>0</v>
      </c>
      <c r="V356" s="236"/>
      <c r="W356" s="232">
        <f>V356*0.304</f>
        <v>0</v>
      </c>
      <c r="X356" s="236"/>
      <c r="Y356" s="236"/>
      <c r="Z356" s="236"/>
    </row>
    <row r="357" spans="1:26" hidden="1" outlineLevel="2">
      <c r="A357" s="19"/>
      <c r="B357" s="74"/>
      <c r="C357" s="207"/>
      <c r="D357" s="208"/>
      <c r="E357" s="133"/>
      <c r="F357" s="261"/>
      <c r="G357" s="138"/>
      <c r="H357" s="135"/>
      <c r="I357" s="206"/>
      <c r="J357" s="206"/>
      <c r="K357" s="206"/>
      <c r="L357" s="137"/>
      <c r="M357" s="163"/>
      <c r="N357" s="163"/>
      <c r="O357" s="288"/>
      <c r="P357" s="290"/>
      <c r="Q357" s="236">
        <f t="shared" ref="Q357:Q363" si="118">SUM(R357,U357)</f>
        <v>0</v>
      </c>
      <c r="R357" s="236">
        <f t="shared" ref="R357:R362" si="119">SUM(S357:T357)</f>
        <v>0</v>
      </c>
      <c r="S357" s="236"/>
      <c r="T357" s="236"/>
      <c r="U357" s="236">
        <f t="shared" ref="U357:U363" si="120">SUM(V357:Y357)</f>
        <v>0</v>
      </c>
      <c r="V357" s="236"/>
      <c r="W357" s="232">
        <f t="shared" ref="W357:W363" si="121">V357*0.304</f>
        <v>0</v>
      </c>
      <c r="X357" s="236"/>
      <c r="Y357" s="236"/>
      <c r="Z357" s="236"/>
    </row>
    <row r="358" spans="1:26" hidden="1" outlineLevel="2">
      <c r="A358" s="19"/>
      <c r="B358" s="74"/>
      <c r="C358" s="207"/>
      <c r="D358" s="208"/>
      <c r="E358" s="133"/>
      <c r="F358" s="261"/>
      <c r="G358" s="138"/>
      <c r="H358" s="135"/>
      <c r="I358" s="206"/>
      <c r="J358" s="206"/>
      <c r="K358" s="206"/>
      <c r="L358" s="137"/>
      <c r="M358" s="163"/>
      <c r="N358" s="163"/>
      <c r="O358" s="288"/>
      <c r="P358" s="290"/>
      <c r="Q358" s="236">
        <f t="shared" si="118"/>
        <v>0</v>
      </c>
      <c r="R358" s="236">
        <f t="shared" si="119"/>
        <v>0</v>
      </c>
      <c r="S358" s="236"/>
      <c r="T358" s="236"/>
      <c r="U358" s="236">
        <f t="shared" si="120"/>
        <v>0</v>
      </c>
      <c r="V358" s="236"/>
      <c r="W358" s="232">
        <f t="shared" si="121"/>
        <v>0</v>
      </c>
      <c r="X358" s="236"/>
      <c r="Y358" s="236"/>
      <c r="Z358" s="236"/>
    </row>
    <row r="359" spans="1:26" hidden="1" outlineLevel="2">
      <c r="A359" s="19"/>
      <c r="B359" s="74"/>
      <c r="C359" s="207"/>
      <c r="D359" s="208"/>
      <c r="E359" s="133"/>
      <c r="F359" s="261"/>
      <c r="G359" s="138"/>
      <c r="H359" s="135"/>
      <c r="I359" s="206"/>
      <c r="J359" s="206"/>
      <c r="K359" s="206"/>
      <c r="L359" s="137"/>
      <c r="M359" s="163"/>
      <c r="N359" s="163"/>
      <c r="O359" s="288"/>
      <c r="P359" s="290"/>
      <c r="Q359" s="236">
        <f t="shared" si="118"/>
        <v>0</v>
      </c>
      <c r="R359" s="236">
        <f t="shared" si="119"/>
        <v>0</v>
      </c>
      <c r="S359" s="236"/>
      <c r="T359" s="236"/>
      <c r="U359" s="236">
        <f t="shared" si="120"/>
        <v>0</v>
      </c>
      <c r="V359" s="236"/>
      <c r="W359" s="232">
        <f t="shared" si="121"/>
        <v>0</v>
      </c>
      <c r="X359" s="236"/>
      <c r="Y359" s="236"/>
      <c r="Z359" s="236"/>
    </row>
    <row r="360" spans="1:26" hidden="1" outlineLevel="2">
      <c r="A360" s="19"/>
      <c r="B360" s="74"/>
      <c r="C360" s="207"/>
      <c r="D360" s="208"/>
      <c r="E360" s="133"/>
      <c r="F360" s="261"/>
      <c r="G360" s="138"/>
      <c r="H360" s="135"/>
      <c r="I360" s="206"/>
      <c r="J360" s="206"/>
      <c r="K360" s="206"/>
      <c r="L360" s="137"/>
      <c r="M360" s="163"/>
      <c r="N360" s="163"/>
      <c r="O360" s="288"/>
      <c r="P360" s="290"/>
      <c r="Q360" s="236">
        <f t="shared" si="118"/>
        <v>0</v>
      </c>
      <c r="R360" s="236">
        <f t="shared" si="119"/>
        <v>0</v>
      </c>
      <c r="S360" s="236"/>
      <c r="T360" s="236"/>
      <c r="U360" s="236">
        <f t="shared" si="120"/>
        <v>0</v>
      </c>
      <c r="V360" s="236"/>
      <c r="W360" s="232">
        <f t="shared" si="121"/>
        <v>0</v>
      </c>
      <c r="X360" s="236"/>
      <c r="Y360" s="236"/>
      <c r="Z360" s="236"/>
    </row>
    <row r="361" spans="1:26" hidden="1" outlineLevel="2">
      <c r="A361" s="160"/>
      <c r="B361" s="74"/>
      <c r="C361" s="207"/>
      <c r="D361" s="208"/>
      <c r="E361" s="133"/>
      <c r="F361" s="261"/>
      <c r="G361" s="138"/>
      <c r="H361" s="139"/>
      <c r="I361" s="206"/>
      <c r="J361" s="206"/>
      <c r="K361" s="206"/>
      <c r="L361" s="137"/>
      <c r="M361" s="74"/>
      <c r="N361" s="74"/>
      <c r="O361" s="19"/>
      <c r="P361" s="290"/>
      <c r="Q361" s="236">
        <f t="shared" si="118"/>
        <v>0</v>
      </c>
      <c r="R361" s="236">
        <f t="shared" si="119"/>
        <v>0</v>
      </c>
      <c r="S361" s="235"/>
      <c r="T361" s="235"/>
      <c r="U361" s="236">
        <f t="shared" si="120"/>
        <v>0</v>
      </c>
      <c r="V361" s="235"/>
      <c r="W361" s="232">
        <f t="shared" si="121"/>
        <v>0</v>
      </c>
      <c r="X361" s="235"/>
      <c r="Y361" s="235"/>
      <c r="Z361" s="235"/>
    </row>
    <row r="362" spans="1:26" hidden="1" outlineLevel="2">
      <c r="A362" s="160"/>
      <c r="B362" s="74"/>
      <c r="C362" s="207"/>
      <c r="D362" s="208"/>
      <c r="E362" s="133"/>
      <c r="F362" s="261"/>
      <c r="G362" s="138"/>
      <c r="H362" s="139"/>
      <c r="I362" s="206"/>
      <c r="J362" s="206"/>
      <c r="K362" s="206"/>
      <c r="L362" s="137"/>
      <c r="M362" s="74"/>
      <c r="N362" s="19"/>
      <c r="O362" s="19"/>
      <c r="P362" s="290"/>
      <c r="Q362" s="236">
        <f t="shared" si="118"/>
        <v>0</v>
      </c>
      <c r="R362" s="236">
        <f t="shared" si="119"/>
        <v>0</v>
      </c>
      <c r="S362" s="235"/>
      <c r="T362" s="235"/>
      <c r="U362" s="236">
        <f t="shared" si="120"/>
        <v>0</v>
      </c>
      <c r="V362" s="235"/>
      <c r="W362" s="232">
        <f t="shared" si="121"/>
        <v>0</v>
      </c>
      <c r="X362" s="235"/>
      <c r="Y362" s="235"/>
      <c r="Z362" s="235"/>
    </row>
    <row r="363" spans="1:26" hidden="1" outlineLevel="2">
      <c r="A363" s="160"/>
      <c r="B363" s="74"/>
      <c r="C363" s="207"/>
      <c r="D363" s="208"/>
      <c r="E363" s="133"/>
      <c r="F363" s="261"/>
      <c r="G363" s="138"/>
      <c r="H363" s="139"/>
      <c r="I363" s="206"/>
      <c r="J363" s="206"/>
      <c r="K363" s="206"/>
      <c r="L363" s="137"/>
      <c r="M363" s="74"/>
      <c r="N363" s="19"/>
      <c r="O363" s="19"/>
      <c r="P363" s="290"/>
      <c r="Q363" s="236">
        <f t="shared" si="118"/>
        <v>0</v>
      </c>
      <c r="R363" s="236">
        <f>SUM(S363:T363)</f>
        <v>0</v>
      </c>
      <c r="S363" s="235"/>
      <c r="T363" s="235"/>
      <c r="U363" s="236">
        <f t="shared" si="120"/>
        <v>0</v>
      </c>
      <c r="V363" s="235"/>
      <c r="W363" s="232">
        <f t="shared" si="121"/>
        <v>0</v>
      </c>
      <c r="X363" s="235"/>
      <c r="Y363" s="235"/>
      <c r="Z363" s="235"/>
    </row>
    <row r="364" spans="1:26" hidden="1" outlineLevel="2">
      <c r="A364" s="164"/>
      <c r="B364" s="351"/>
      <c r="C364" s="227"/>
      <c r="D364" s="228"/>
      <c r="E364" s="165"/>
      <c r="F364" s="279"/>
      <c r="G364" s="166"/>
      <c r="H364" s="167"/>
      <c r="I364" s="229"/>
      <c r="J364" s="229"/>
      <c r="K364" s="229"/>
      <c r="L364" s="230"/>
      <c r="M364" s="351"/>
      <c r="N364" s="168"/>
      <c r="O364" s="168"/>
      <c r="P364" s="291"/>
      <c r="Q364" s="233"/>
      <c r="R364" s="233"/>
      <c r="S364" s="233"/>
      <c r="T364" s="233"/>
      <c r="U364" s="233"/>
      <c r="V364" s="233"/>
      <c r="W364" s="233"/>
      <c r="X364" s="233"/>
      <c r="Y364" s="233"/>
      <c r="Z364" s="233"/>
    </row>
    <row r="365" spans="1:26" s="75" customFormat="1" outlineLevel="1" collapsed="1">
      <c r="A365" s="237"/>
      <c r="B365" s="238"/>
      <c r="C365" s="239"/>
      <c r="D365" s="240"/>
      <c r="E365" s="241"/>
      <c r="F365" s="264"/>
      <c r="G365" s="242"/>
      <c r="H365" s="243"/>
      <c r="I365" s="244"/>
      <c r="J365" s="244"/>
      <c r="K365" s="244"/>
      <c r="L365" s="150" t="str">
        <f>CONCATENATE(L366," ",N366,M366," ",L367," ",N367,M367," "," ",L368," ",N368,M368," ",L369," ",N369,M369," ",L370," ",N370,M370," ",L371," ",N371,M371," ",L372," ",N372,M372," ",L373," ",N373,M373)</f>
        <v xml:space="preserve">                </v>
      </c>
      <c r="M365" s="243"/>
      <c r="N365" s="243"/>
      <c r="O365" s="287">
        <f>SUM(O366:O373)</f>
        <v>0</v>
      </c>
      <c r="P365" s="289"/>
      <c r="Q365" s="246">
        <f>SUM(Q366:Q373)</f>
        <v>0</v>
      </c>
      <c r="R365" s="246">
        <f t="shared" ref="R365:Y365" si="122">SUM(R366:R373)</f>
        <v>0</v>
      </c>
      <c r="S365" s="246">
        <f t="shared" si="122"/>
        <v>0</v>
      </c>
      <c r="T365" s="246">
        <f t="shared" si="122"/>
        <v>0</v>
      </c>
      <c r="U365" s="246">
        <f t="shared" si="122"/>
        <v>0</v>
      </c>
      <c r="V365" s="246">
        <f t="shared" si="122"/>
        <v>0</v>
      </c>
      <c r="W365" s="246">
        <f t="shared" si="122"/>
        <v>0</v>
      </c>
      <c r="X365" s="246">
        <f t="shared" si="122"/>
        <v>0</v>
      </c>
      <c r="Y365" s="246">
        <f t="shared" si="122"/>
        <v>0</v>
      </c>
      <c r="Z365" s="246">
        <f>SUM(Z366:Z373)</f>
        <v>0</v>
      </c>
    </row>
    <row r="366" spans="1:26" hidden="1" outlineLevel="2">
      <c r="A366" s="19"/>
      <c r="B366" s="74"/>
      <c r="C366" s="207"/>
      <c r="D366" s="208"/>
      <c r="E366" s="133"/>
      <c r="F366" s="261"/>
      <c r="G366" s="138"/>
      <c r="H366" s="135"/>
      <c r="I366" s="206"/>
      <c r="J366" s="206"/>
      <c r="K366" s="206"/>
      <c r="L366" s="137"/>
      <c r="M366" s="163"/>
      <c r="N366" s="163"/>
      <c r="O366" s="288"/>
      <c r="P366" s="290"/>
      <c r="Q366" s="236">
        <f>SUM(R366,U366)</f>
        <v>0</v>
      </c>
      <c r="R366" s="236">
        <f>SUM(S366:T366)</f>
        <v>0</v>
      </c>
      <c r="S366" s="236"/>
      <c r="T366" s="236"/>
      <c r="U366" s="236">
        <f>SUM(V366:Y366)</f>
        <v>0</v>
      </c>
      <c r="V366" s="236"/>
      <c r="W366" s="232">
        <f>V366*0.304</f>
        <v>0</v>
      </c>
      <c r="X366" s="236"/>
      <c r="Y366" s="236"/>
      <c r="Z366" s="236"/>
    </row>
    <row r="367" spans="1:26" hidden="1" outlineLevel="2">
      <c r="A367" s="19"/>
      <c r="B367" s="74"/>
      <c r="C367" s="207"/>
      <c r="D367" s="208"/>
      <c r="E367" s="133"/>
      <c r="F367" s="261"/>
      <c r="G367" s="138"/>
      <c r="H367" s="135"/>
      <c r="I367" s="206"/>
      <c r="J367" s="206"/>
      <c r="K367" s="206"/>
      <c r="L367" s="137"/>
      <c r="M367" s="163"/>
      <c r="N367" s="163"/>
      <c r="O367" s="288"/>
      <c r="P367" s="290"/>
      <c r="Q367" s="236">
        <f t="shared" ref="Q367:Q373" si="123">SUM(R367,U367)</f>
        <v>0</v>
      </c>
      <c r="R367" s="236">
        <f t="shared" ref="R367:R372" si="124">SUM(S367:T367)</f>
        <v>0</v>
      </c>
      <c r="S367" s="236"/>
      <c r="T367" s="236"/>
      <c r="U367" s="236">
        <f t="shared" ref="U367:U373" si="125">SUM(V367:Y367)</f>
        <v>0</v>
      </c>
      <c r="V367" s="236"/>
      <c r="W367" s="232">
        <f t="shared" ref="W367:W373" si="126">V367*0.304</f>
        <v>0</v>
      </c>
      <c r="X367" s="236"/>
      <c r="Y367" s="236"/>
      <c r="Z367" s="236"/>
    </row>
    <row r="368" spans="1:26" hidden="1" outlineLevel="2">
      <c r="A368" s="19"/>
      <c r="B368" s="74"/>
      <c r="C368" s="207"/>
      <c r="D368" s="208"/>
      <c r="E368" s="133"/>
      <c r="F368" s="261"/>
      <c r="G368" s="138"/>
      <c r="H368" s="135"/>
      <c r="I368" s="206"/>
      <c r="J368" s="206"/>
      <c r="K368" s="206"/>
      <c r="L368" s="137"/>
      <c r="M368" s="163"/>
      <c r="N368" s="163"/>
      <c r="O368" s="288"/>
      <c r="P368" s="290"/>
      <c r="Q368" s="236">
        <f t="shared" si="123"/>
        <v>0</v>
      </c>
      <c r="R368" s="236">
        <f t="shared" si="124"/>
        <v>0</v>
      </c>
      <c r="S368" s="236"/>
      <c r="T368" s="236"/>
      <c r="U368" s="236">
        <f t="shared" si="125"/>
        <v>0</v>
      </c>
      <c r="V368" s="236"/>
      <c r="W368" s="232">
        <f t="shared" si="126"/>
        <v>0</v>
      </c>
      <c r="X368" s="236"/>
      <c r="Y368" s="236"/>
      <c r="Z368" s="236"/>
    </row>
    <row r="369" spans="1:26" hidden="1" outlineLevel="2">
      <c r="A369" s="19"/>
      <c r="B369" s="74"/>
      <c r="C369" s="207"/>
      <c r="D369" s="208"/>
      <c r="E369" s="133"/>
      <c r="F369" s="261"/>
      <c r="G369" s="138"/>
      <c r="H369" s="135"/>
      <c r="I369" s="206"/>
      <c r="J369" s="206"/>
      <c r="K369" s="206"/>
      <c r="L369" s="137"/>
      <c r="M369" s="163"/>
      <c r="N369" s="163"/>
      <c r="O369" s="288"/>
      <c r="P369" s="290"/>
      <c r="Q369" s="236">
        <f t="shared" si="123"/>
        <v>0</v>
      </c>
      <c r="R369" s="236">
        <f t="shared" si="124"/>
        <v>0</v>
      </c>
      <c r="S369" s="236"/>
      <c r="T369" s="236"/>
      <c r="U369" s="236">
        <f t="shared" si="125"/>
        <v>0</v>
      </c>
      <c r="V369" s="236"/>
      <c r="W369" s="232">
        <f t="shared" si="126"/>
        <v>0</v>
      </c>
      <c r="X369" s="236"/>
      <c r="Y369" s="236"/>
      <c r="Z369" s="236"/>
    </row>
    <row r="370" spans="1:26" hidden="1" outlineLevel="2">
      <c r="A370" s="19"/>
      <c r="B370" s="74"/>
      <c r="C370" s="207"/>
      <c r="D370" s="208"/>
      <c r="E370" s="133"/>
      <c r="F370" s="261"/>
      <c r="G370" s="138"/>
      <c r="H370" s="135"/>
      <c r="I370" s="206"/>
      <c r="J370" s="206"/>
      <c r="K370" s="206"/>
      <c r="L370" s="137"/>
      <c r="M370" s="163"/>
      <c r="N370" s="163"/>
      <c r="O370" s="288"/>
      <c r="P370" s="290"/>
      <c r="Q370" s="236">
        <f t="shared" si="123"/>
        <v>0</v>
      </c>
      <c r="R370" s="236">
        <f t="shared" si="124"/>
        <v>0</v>
      </c>
      <c r="S370" s="236"/>
      <c r="T370" s="236"/>
      <c r="U370" s="236">
        <f t="shared" si="125"/>
        <v>0</v>
      </c>
      <c r="V370" s="236"/>
      <c r="W370" s="232">
        <f t="shared" si="126"/>
        <v>0</v>
      </c>
      <c r="X370" s="236"/>
      <c r="Y370" s="236"/>
      <c r="Z370" s="236"/>
    </row>
    <row r="371" spans="1:26" hidden="1" outlineLevel="2">
      <c r="A371" s="160"/>
      <c r="B371" s="74"/>
      <c r="C371" s="207"/>
      <c r="D371" s="208"/>
      <c r="E371" s="133"/>
      <c r="F371" s="261"/>
      <c r="G371" s="138"/>
      <c r="H371" s="139"/>
      <c r="I371" s="206"/>
      <c r="J371" s="206"/>
      <c r="K371" s="206"/>
      <c r="L371" s="137"/>
      <c r="M371" s="74"/>
      <c r="N371" s="74"/>
      <c r="O371" s="19"/>
      <c r="P371" s="290"/>
      <c r="Q371" s="236">
        <f t="shared" si="123"/>
        <v>0</v>
      </c>
      <c r="R371" s="236">
        <f t="shared" si="124"/>
        <v>0</v>
      </c>
      <c r="S371" s="235"/>
      <c r="T371" s="235"/>
      <c r="U371" s="236">
        <f t="shared" si="125"/>
        <v>0</v>
      </c>
      <c r="V371" s="235"/>
      <c r="W371" s="232">
        <f t="shared" si="126"/>
        <v>0</v>
      </c>
      <c r="X371" s="235"/>
      <c r="Y371" s="235"/>
      <c r="Z371" s="235"/>
    </row>
    <row r="372" spans="1:26" hidden="1" outlineLevel="2">
      <c r="A372" s="160"/>
      <c r="B372" s="74"/>
      <c r="C372" s="207"/>
      <c r="D372" s="208"/>
      <c r="E372" s="133"/>
      <c r="F372" s="261"/>
      <c r="G372" s="138"/>
      <c r="H372" s="139"/>
      <c r="I372" s="206"/>
      <c r="J372" s="206"/>
      <c r="K372" s="206"/>
      <c r="L372" s="137"/>
      <c r="M372" s="74"/>
      <c r="N372" s="19"/>
      <c r="O372" s="19"/>
      <c r="P372" s="290"/>
      <c r="Q372" s="236">
        <f t="shared" si="123"/>
        <v>0</v>
      </c>
      <c r="R372" s="236">
        <f t="shared" si="124"/>
        <v>0</v>
      </c>
      <c r="S372" s="235"/>
      <c r="T372" s="235"/>
      <c r="U372" s="236">
        <f t="shared" si="125"/>
        <v>0</v>
      </c>
      <c r="V372" s="235"/>
      <c r="W372" s="232">
        <f t="shared" si="126"/>
        <v>0</v>
      </c>
      <c r="X372" s="235"/>
      <c r="Y372" s="235"/>
      <c r="Z372" s="235"/>
    </row>
    <row r="373" spans="1:26" hidden="1" outlineLevel="2">
      <c r="A373" s="160"/>
      <c r="B373" s="74"/>
      <c r="C373" s="207"/>
      <c r="D373" s="208"/>
      <c r="E373" s="133"/>
      <c r="F373" s="261"/>
      <c r="G373" s="138"/>
      <c r="H373" s="139"/>
      <c r="I373" s="206"/>
      <c r="J373" s="206"/>
      <c r="K373" s="206"/>
      <c r="L373" s="137"/>
      <c r="M373" s="74"/>
      <c r="N373" s="19"/>
      <c r="O373" s="19"/>
      <c r="P373" s="290"/>
      <c r="Q373" s="236">
        <f t="shared" si="123"/>
        <v>0</v>
      </c>
      <c r="R373" s="236">
        <f>SUM(S373:T373)</f>
        <v>0</v>
      </c>
      <c r="S373" s="235"/>
      <c r="T373" s="235"/>
      <c r="U373" s="236">
        <f t="shared" si="125"/>
        <v>0</v>
      </c>
      <c r="V373" s="235"/>
      <c r="W373" s="232">
        <f t="shared" si="126"/>
        <v>0</v>
      </c>
      <c r="X373" s="235"/>
      <c r="Y373" s="235"/>
      <c r="Z373" s="235"/>
    </row>
    <row r="374" spans="1:26" hidden="1" outlineLevel="2">
      <c r="A374" s="164"/>
      <c r="B374" s="351"/>
      <c r="C374" s="227"/>
      <c r="D374" s="228"/>
      <c r="E374" s="165"/>
      <c r="F374" s="279"/>
      <c r="G374" s="166"/>
      <c r="H374" s="167"/>
      <c r="I374" s="229"/>
      <c r="J374" s="229"/>
      <c r="K374" s="229"/>
      <c r="L374" s="230"/>
      <c r="M374" s="351"/>
      <c r="N374" s="168"/>
      <c r="O374" s="168"/>
      <c r="P374" s="291"/>
      <c r="Q374" s="233"/>
      <c r="R374" s="233"/>
      <c r="S374" s="233"/>
      <c r="T374" s="233"/>
      <c r="U374" s="233"/>
      <c r="V374" s="233"/>
      <c r="W374" s="233"/>
      <c r="X374" s="233"/>
      <c r="Y374" s="233"/>
      <c r="Z374" s="233"/>
    </row>
    <row r="375" spans="1:26" s="75" customFormat="1" outlineLevel="1" collapsed="1">
      <c r="A375" s="237"/>
      <c r="B375" s="238"/>
      <c r="C375" s="239"/>
      <c r="D375" s="240"/>
      <c r="E375" s="241"/>
      <c r="F375" s="264"/>
      <c r="G375" s="242"/>
      <c r="H375" s="243"/>
      <c r="I375" s="244"/>
      <c r="J375" s="244"/>
      <c r="K375" s="244"/>
      <c r="L375" s="150" t="str">
        <f>CONCATENATE(L376," ",N376,M376," ",L377," ",N377,M377," "," ",L378," ",N378,M378," ",L379," ",N379,M379," ",L380," ",N380,M380," ",L381," ",N381,M381," ",L382," ",N382,M382," ",L383," ",N383,M383)</f>
        <v xml:space="preserve">                </v>
      </c>
      <c r="M375" s="243"/>
      <c r="N375" s="243"/>
      <c r="O375" s="287">
        <f>SUM(O376:O383)</f>
        <v>0</v>
      </c>
      <c r="P375" s="289"/>
      <c r="Q375" s="246">
        <f>SUM(Q376:Q383)</f>
        <v>0</v>
      </c>
      <c r="R375" s="246">
        <f t="shared" ref="R375:Y375" si="127">SUM(R376:R383)</f>
        <v>0</v>
      </c>
      <c r="S375" s="246">
        <f t="shared" si="127"/>
        <v>0</v>
      </c>
      <c r="T375" s="246">
        <f t="shared" si="127"/>
        <v>0</v>
      </c>
      <c r="U375" s="246">
        <f t="shared" si="127"/>
        <v>0</v>
      </c>
      <c r="V375" s="246">
        <f t="shared" si="127"/>
        <v>0</v>
      </c>
      <c r="W375" s="246">
        <f t="shared" si="127"/>
        <v>0</v>
      </c>
      <c r="X375" s="246">
        <f t="shared" si="127"/>
        <v>0</v>
      </c>
      <c r="Y375" s="246">
        <f t="shared" si="127"/>
        <v>0</v>
      </c>
      <c r="Z375" s="246">
        <f>SUM(Z376:Z383)</f>
        <v>0</v>
      </c>
    </row>
    <row r="376" spans="1:26" hidden="1" outlineLevel="2">
      <c r="A376" s="19"/>
      <c r="B376" s="74"/>
      <c r="C376" s="207"/>
      <c r="D376" s="208"/>
      <c r="E376" s="133"/>
      <c r="F376" s="261"/>
      <c r="G376" s="138"/>
      <c r="H376" s="135"/>
      <c r="I376" s="206"/>
      <c r="J376" s="206"/>
      <c r="K376" s="206"/>
      <c r="L376" s="137"/>
      <c r="M376" s="163"/>
      <c r="N376" s="163"/>
      <c r="O376" s="288"/>
      <c r="P376" s="290"/>
      <c r="Q376" s="236">
        <f>SUM(R376,U376)</f>
        <v>0</v>
      </c>
      <c r="R376" s="236">
        <f>SUM(S376:T376)</f>
        <v>0</v>
      </c>
      <c r="S376" s="236"/>
      <c r="T376" s="236"/>
      <c r="U376" s="236">
        <f>SUM(V376:Y376)</f>
        <v>0</v>
      </c>
      <c r="V376" s="236"/>
      <c r="W376" s="232">
        <f>V376*0.304</f>
        <v>0</v>
      </c>
      <c r="X376" s="236"/>
      <c r="Y376" s="236"/>
      <c r="Z376" s="236"/>
    </row>
    <row r="377" spans="1:26" hidden="1" outlineLevel="2">
      <c r="A377" s="19"/>
      <c r="B377" s="74"/>
      <c r="C377" s="207"/>
      <c r="D377" s="208"/>
      <c r="E377" s="133"/>
      <c r="F377" s="261"/>
      <c r="G377" s="138"/>
      <c r="H377" s="135"/>
      <c r="I377" s="206"/>
      <c r="J377" s="206"/>
      <c r="K377" s="206"/>
      <c r="L377" s="137"/>
      <c r="M377" s="163"/>
      <c r="N377" s="163"/>
      <c r="O377" s="288"/>
      <c r="P377" s="290"/>
      <c r="Q377" s="236">
        <f t="shared" ref="Q377:Q383" si="128">SUM(R377,U377)</f>
        <v>0</v>
      </c>
      <c r="R377" s="236">
        <f t="shared" ref="R377:R382" si="129">SUM(S377:T377)</f>
        <v>0</v>
      </c>
      <c r="S377" s="236"/>
      <c r="T377" s="236"/>
      <c r="U377" s="236">
        <f t="shared" ref="U377:U383" si="130">SUM(V377:Y377)</f>
        <v>0</v>
      </c>
      <c r="V377" s="236"/>
      <c r="W377" s="232">
        <f t="shared" ref="W377:W383" si="131">V377*0.304</f>
        <v>0</v>
      </c>
      <c r="X377" s="236"/>
      <c r="Y377" s="236"/>
      <c r="Z377" s="236"/>
    </row>
    <row r="378" spans="1:26" hidden="1" outlineLevel="2">
      <c r="A378" s="19"/>
      <c r="B378" s="74"/>
      <c r="C378" s="207"/>
      <c r="D378" s="208"/>
      <c r="E378" s="133"/>
      <c r="F378" s="261"/>
      <c r="G378" s="138"/>
      <c r="H378" s="135"/>
      <c r="I378" s="206"/>
      <c r="J378" s="206"/>
      <c r="K378" s="206"/>
      <c r="L378" s="137"/>
      <c r="M378" s="163"/>
      <c r="N378" s="163"/>
      <c r="O378" s="288"/>
      <c r="P378" s="290"/>
      <c r="Q378" s="236">
        <f t="shared" si="128"/>
        <v>0</v>
      </c>
      <c r="R378" s="236">
        <f t="shared" si="129"/>
        <v>0</v>
      </c>
      <c r="S378" s="236"/>
      <c r="T378" s="236"/>
      <c r="U378" s="236">
        <f t="shared" si="130"/>
        <v>0</v>
      </c>
      <c r="V378" s="236"/>
      <c r="W378" s="232">
        <f t="shared" si="131"/>
        <v>0</v>
      </c>
      <c r="X378" s="236"/>
      <c r="Y378" s="236"/>
      <c r="Z378" s="236"/>
    </row>
    <row r="379" spans="1:26" hidden="1" outlineLevel="2">
      <c r="A379" s="19"/>
      <c r="B379" s="74"/>
      <c r="C379" s="207"/>
      <c r="D379" s="208"/>
      <c r="E379" s="133"/>
      <c r="F379" s="261"/>
      <c r="G379" s="138"/>
      <c r="H379" s="135"/>
      <c r="I379" s="206"/>
      <c r="J379" s="206"/>
      <c r="K379" s="206"/>
      <c r="L379" s="137"/>
      <c r="M379" s="163"/>
      <c r="N379" s="163"/>
      <c r="O379" s="288"/>
      <c r="P379" s="290"/>
      <c r="Q379" s="236">
        <f t="shared" si="128"/>
        <v>0</v>
      </c>
      <c r="R379" s="236">
        <f t="shared" si="129"/>
        <v>0</v>
      </c>
      <c r="S379" s="236"/>
      <c r="T379" s="236"/>
      <c r="U379" s="236">
        <f t="shared" si="130"/>
        <v>0</v>
      </c>
      <c r="V379" s="236"/>
      <c r="W379" s="232">
        <f t="shared" si="131"/>
        <v>0</v>
      </c>
      <c r="X379" s="236"/>
      <c r="Y379" s="236"/>
      <c r="Z379" s="236"/>
    </row>
    <row r="380" spans="1:26" hidden="1" outlineLevel="2">
      <c r="A380" s="19"/>
      <c r="B380" s="74"/>
      <c r="C380" s="207"/>
      <c r="D380" s="208"/>
      <c r="E380" s="133"/>
      <c r="F380" s="261"/>
      <c r="G380" s="138"/>
      <c r="H380" s="135"/>
      <c r="I380" s="206"/>
      <c r="J380" s="206"/>
      <c r="K380" s="206"/>
      <c r="L380" s="137"/>
      <c r="M380" s="163"/>
      <c r="N380" s="163"/>
      <c r="O380" s="288"/>
      <c r="P380" s="290"/>
      <c r="Q380" s="236">
        <f t="shared" si="128"/>
        <v>0</v>
      </c>
      <c r="R380" s="236">
        <f t="shared" si="129"/>
        <v>0</v>
      </c>
      <c r="S380" s="236"/>
      <c r="T380" s="236"/>
      <c r="U380" s="236">
        <f t="shared" si="130"/>
        <v>0</v>
      </c>
      <c r="V380" s="236"/>
      <c r="W380" s="232">
        <f t="shared" si="131"/>
        <v>0</v>
      </c>
      <c r="X380" s="236"/>
      <c r="Y380" s="236"/>
      <c r="Z380" s="236"/>
    </row>
    <row r="381" spans="1:26" hidden="1" outlineLevel="2">
      <c r="A381" s="160"/>
      <c r="B381" s="74"/>
      <c r="C381" s="207"/>
      <c r="D381" s="208"/>
      <c r="E381" s="133"/>
      <c r="F381" s="261"/>
      <c r="G381" s="138"/>
      <c r="H381" s="139"/>
      <c r="I381" s="206"/>
      <c r="J381" s="206"/>
      <c r="K381" s="206"/>
      <c r="L381" s="137"/>
      <c r="M381" s="74"/>
      <c r="N381" s="74"/>
      <c r="O381" s="19"/>
      <c r="P381" s="290"/>
      <c r="Q381" s="236">
        <f t="shared" si="128"/>
        <v>0</v>
      </c>
      <c r="R381" s="236">
        <f t="shared" si="129"/>
        <v>0</v>
      </c>
      <c r="S381" s="235"/>
      <c r="T381" s="235"/>
      <c r="U381" s="236">
        <f t="shared" si="130"/>
        <v>0</v>
      </c>
      <c r="V381" s="235"/>
      <c r="W381" s="232">
        <f t="shared" si="131"/>
        <v>0</v>
      </c>
      <c r="X381" s="235"/>
      <c r="Y381" s="235"/>
      <c r="Z381" s="235"/>
    </row>
    <row r="382" spans="1:26" hidden="1" outlineLevel="2">
      <c r="A382" s="160"/>
      <c r="B382" s="74"/>
      <c r="C382" s="207"/>
      <c r="D382" s="208"/>
      <c r="E382" s="133"/>
      <c r="F382" s="261"/>
      <c r="G382" s="138"/>
      <c r="H382" s="139"/>
      <c r="I382" s="206"/>
      <c r="J382" s="206"/>
      <c r="K382" s="206"/>
      <c r="L382" s="137"/>
      <c r="M382" s="74"/>
      <c r="N382" s="19"/>
      <c r="O382" s="19"/>
      <c r="P382" s="290"/>
      <c r="Q382" s="236">
        <f t="shared" si="128"/>
        <v>0</v>
      </c>
      <c r="R382" s="236">
        <f t="shared" si="129"/>
        <v>0</v>
      </c>
      <c r="S382" s="235"/>
      <c r="T382" s="235"/>
      <c r="U382" s="236">
        <f t="shared" si="130"/>
        <v>0</v>
      </c>
      <c r="V382" s="235"/>
      <c r="W382" s="232">
        <f t="shared" si="131"/>
        <v>0</v>
      </c>
      <c r="X382" s="235"/>
      <c r="Y382" s="235"/>
      <c r="Z382" s="235"/>
    </row>
    <row r="383" spans="1:26" hidden="1" outlineLevel="2">
      <c r="A383" s="160"/>
      <c r="B383" s="74"/>
      <c r="C383" s="207"/>
      <c r="D383" s="208"/>
      <c r="E383" s="133"/>
      <c r="F383" s="261"/>
      <c r="G383" s="138"/>
      <c r="H383" s="139"/>
      <c r="I383" s="206"/>
      <c r="J383" s="206"/>
      <c r="K383" s="206"/>
      <c r="L383" s="137"/>
      <c r="M383" s="74"/>
      <c r="N383" s="19"/>
      <c r="O383" s="19"/>
      <c r="P383" s="290"/>
      <c r="Q383" s="236">
        <f t="shared" si="128"/>
        <v>0</v>
      </c>
      <c r="R383" s="236">
        <f>SUM(S383:T383)</f>
        <v>0</v>
      </c>
      <c r="S383" s="235"/>
      <c r="T383" s="235"/>
      <c r="U383" s="236">
        <f t="shared" si="130"/>
        <v>0</v>
      </c>
      <c r="V383" s="235"/>
      <c r="W383" s="232">
        <f t="shared" si="131"/>
        <v>0</v>
      </c>
      <c r="X383" s="235"/>
      <c r="Y383" s="235"/>
      <c r="Z383" s="235"/>
    </row>
    <row r="384" spans="1:26" hidden="1" outlineLevel="2">
      <c r="A384" s="164"/>
      <c r="B384" s="351"/>
      <c r="C384" s="227"/>
      <c r="D384" s="228"/>
      <c r="E384" s="165"/>
      <c r="F384" s="279"/>
      <c r="G384" s="166"/>
      <c r="H384" s="167"/>
      <c r="I384" s="229"/>
      <c r="J384" s="229"/>
      <c r="K384" s="229"/>
      <c r="L384" s="230"/>
      <c r="M384" s="351"/>
      <c r="N384" s="168"/>
      <c r="O384" s="168"/>
      <c r="P384" s="291"/>
      <c r="Q384" s="233"/>
      <c r="R384" s="233"/>
      <c r="S384" s="233"/>
      <c r="T384" s="233"/>
      <c r="U384" s="233"/>
      <c r="V384" s="233"/>
      <c r="W384" s="233"/>
      <c r="X384" s="233"/>
      <c r="Y384" s="233"/>
      <c r="Z384" s="233"/>
    </row>
    <row r="385" spans="1:26" s="75" customFormat="1" outlineLevel="1" collapsed="1">
      <c r="A385" s="237"/>
      <c r="B385" s="238"/>
      <c r="C385" s="239"/>
      <c r="D385" s="240"/>
      <c r="E385" s="241"/>
      <c r="F385" s="264"/>
      <c r="G385" s="242"/>
      <c r="H385" s="243"/>
      <c r="I385" s="244"/>
      <c r="J385" s="244"/>
      <c r="K385" s="244"/>
      <c r="L385" s="150" t="str">
        <f>CONCATENATE(L386," ",N386,M386," ",L387," ",N387,M387," "," ",L388," ",N388,M388," ",L389," ",N389,M389," ",L390," ",N390,M390," ",L391," ",N391,M391," ",L392," ",N392,M392," ",L393," ",N393,M393)</f>
        <v xml:space="preserve">                </v>
      </c>
      <c r="M385" s="243"/>
      <c r="N385" s="243"/>
      <c r="O385" s="287">
        <f>SUM(O386:O393)</f>
        <v>0</v>
      </c>
      <c r="P385" s="289"/>
      <c r="Q385" s="246">
        <f>SUM(Q386:Q393)</f>
        <v>0</v>
      </c>
      <c r="R385" s="246">
        <f t="shared" ref="R385:Y385" si="132">SUM(R386:R393)</f>
        <v>0</v>
      </c>
      <c r="S385" s="246">
        <f t="shared" si="132"/>
        <v>0</v>
      </c>
      <c r="T385" s="246">
        <f t="shared" si="132"/>
        <v>0</v>
      </c>
      <c r="U385" s="246">
        <f t="shared" si="132"/>
        <v>0</v>
      </c>
      <c r="V385" s="246">
        <f t="shared" si="132"/>
        <v>0</v>
      </c>
      <c r="W385" s="246">
        <f t="shared" si="132"/>
        <v>0</v>
      </c>
      <c r="X385" s="246">
        <f t="shared" si="132"/>
        <v>0</v>
      </c>
      <c r="Y385" s="246">
        <f t="shared" si="132"/>
        <v>0</v>
      </c>
      <c r="Z385" s="246">
        <f>SUM(Z386:Z393)</f>
        <v>0</v>
      </c>
    </row>
    <row r="386" spans="1:26" hidden="1" outlineLevel="2">
      <c r="A386" s="19"/>
      <c r="B386" s="74"/>
      <c r="C386" s="207"/>
      <c r="D386" s="208"/>
      <c r="E386" s="133"/>
      <c r="F386" s="261"/>
      <c r="G386" s="138"/>
      <c r="H386" s="135"/>
      <c r="I386" s="206"/>
      <c r="J386" s="206"/>
      <c r="K386" s="206"/>
      <c r="L386" s="137"/>
      <c r="M386" s="163"/>
      <c r="N386" s="163"/>
      <c r="O386" s="288"/>
      <c r="P386" s="290"/>
      <c r="Q386" s="236">
        <f>SUM(R386,U386)</f>
        <v>0</v>
      </c>
      <c r="R386" s="236">
        <f>SUM(S386:T386)</f>
        <v>0</v>
      </c>
      <c r="S386" s="236"/>
      <c r="T386" s="236"/>
      <c r="U386" s="236">
        <f>SUM(V386:Y386)</f>
        <v>0</v>
      </c>
      <c r="V386" s="236"/>
      <c r="W386" s="232">
        <f>V386*0.304</f>
        <v>0</v>
      </c>
      <c r="X386" s="236"/>
      <c r="Y386" s="236"/>
      <c r="Z386" s="236"/>
    </row>
    <row r="387" spans="1:26" hidden="1" outlineLevel="2">
      <c r="A387" s="19"/>
      <c r="B387" s="74"/>
      <c r="C387" s="207"/>
      <c r="D387" s="208"/>
      <c r="E387" s="133"/>
      <c r="F387" s="261"/>
      <c r="G387" s="138"/>
      <c r="H387" s="135"/>
      <c r="I387" s="206"/>
      <c r="J387" s="206"/>
      <c r="K387" s="206"/>
      <c r="L387" s="137"/>
      <c r="M387" s="163"/>
      <c r="N387" s="163"/>
      <c r="O387" s="288"/>
      <c r="P387" s="290"/>
      <c r="Q387" s="236">
        <f t="shared" ref="Q387:Q393" si="133">SUM(R387,U387)</f>
        <v>0</v>
      </c>
      <c r="R387" s="236">
        <f t="shared" ref="R387:R392" si="134">SUM(S387:T387)</f>
        <v>0</v>
      </c>
      <c r="S387" s="236"/>
      <c r="T387" s="236"/>
      <c r="U387" s="236">
        <f t="shared" ref="U387:U393" si="135">SUM(V387:Y387)</f>
        <v>0</v>
      </c>
      <c r="V387" s="236"/>
      <c r="W387" s="232">
        <f t="shared" ref="W387:W393" si="136">V387*0.304</f>
        <v>0</v>
      </c>
      <c r="X387" s="236"/>
      <c r="Y387" s="236"/>
      <c r="Z387" s="236"/>
    </row>
    <row r="388" spans="1:26" hidden="1" outlineLevel="2">
      <c r="A388" s="19"/>
      <c r="B388" s="74"/>
      <c r="C388" s="207"/>
      <c r="D388" s="208"/>
      <c r="E388" s="133"/>
      <c r="F388" s="261"/>
      <c r="G388" s="138"/>
      <c r="H388" s="135"/>
      <c r="I388" s="206"/>
      <c r="J388" s="206"/>
      <c r="K388" s="206"/>
      <c r="L388" s="137"/>
      <c r="M388" s="163"/>
      <c r="N388" s="163"/>
      <c r="O388" s="288"/>
      <c r="P388" s="290"/>
      <c r="Q388" s="236">
        <f t="shared" si="133"/>
        <v>0</v>
      </c>
      <c r="R388" s="236">
        <f t="shared" si="134"/>
        <v>0</v>
      </c>
      <c r="S388" s="236"/>
      <c r="T388" s="236"/>
      <c r="U388" s="236">
        <f t="shared" si="135"/>
        <v>0</v>
      </c>
      <c r="V388" s="236"/>
      <c r="W388" s="232">
        <f t="shared" si="136"/>
        <v>0</v>
      </c>
      <c r="X388" s="236"/>
      <c r="Y388" s="236"/>
      <c r="Z388" s="236"/>
    </row>
    <row r="389" spans="1:26" hidden="1" outlineLevel="2">
      <c r="A389" s="19"/>
      <c r="B389" s="74"/>
      <c r="C389" s="207"/>
      <c r="D389" s="208"/>
      <c r="E389" s="133"/>
      <c r="F389" s="261"/>
      <c r="G389" s="138"/>
      <c r="H389" s="135"/>
      <c r="I389" s="206"/>
      <c r="J389" s="206"/>
      <c r="K389" s="206"/>
      <c r="L389" s="137"/>
      <c r="M389" s="163"/>
      <c r="N389" s="163"/>
      <c r="O389" s="288"/>
      <c r="P389" s="290"/>
      <c r="Q389" s="236">
        <f t="shared" si="133"/>
        <v>0</v>
      </c>
      <c r="R389" s="236">
        <f t="shared" si="134"/>
        <v>0</v>
      </c>
      <c r="S389" s="236"/>
      <c r="T389" s="236"/>
      <c r="U389" s="236">
        <f t="shared" si="135"/>
        <v>0</v>
      </c>
      <c r="V389" s="236"/>
      <c r="W389" s="232">
        <f t="shared" si="136"/>
        <v>0</v>
      </c>
      <c r="X389" s="236"/>
      <c r="Y389" s="236"/>
      <c r="Z389" s="236"/>
    </row>
    <row r="390" spans="1:26" hidden="1" outlineLevel="2">
      <c r="A390" s="19"/>
      <c r="B390" s="74"/>
      <c r="C390" s="207"/>
      <c r="D390" s="208"/>
      <c r="E390" s="133"/>
      <c r="F390" s="261"/>
      <c r="G390" s="138"/>
      <c r="H390" s="135"/>
      <c r="I390" s="206"/>
      <c r="J390" s="206"/>
      <c r="K390" s="206"/>
      <c r="L390" s="137"/>
      <c r="M390" s="163"/>
      <c r="N390" s="163"/>
      <c r="O390" s="288"/>
      <c r="P390" s="290"/>
      <c r="Q390" s="236">
        <f t="shared" si="133"/>
        <v>0</v>
      </c>
      <c r="R390" s="236">
        <f t="shared" si="134"/>
        <v>0</v>
      </c>
      <c r="S390" s="236"/>
      <c r="T390" s="236"/>
      <c r="U390" s="236">
        <f t="shared" si="135"/>
        <v>0</v>
      </c>
      <c r="V390" s="236"/>
      <c r="W390" s="232">
        <f t="shared" si="136"/>
        <v>0</v>
      </c>
      <c r="X390" s="236"/>
      <c r="Y390" s="236"/>
      <c r="Z390" s="236"/>
    </row>
    <row r="391" spans="1:26" hidden="1" outlineLevel="2">
      <c r="A391" s="160"/>
      <c r="B391" s="74"/>
      <c r="C391" s="207"/>
      <c r="D391" s="208"/>
      <c r="E391" s="133"/>
      <c r="F391" s="261"/>
      <c r="G391" s="138"/>
      <c r="H391" s="139"/>
      <c r="I391" s="206"/>
      <c r="J391" s="206"/>
      <c r="K391" s="206"/>
      <c r="L391" s="137"/>
      <c r="M391" s="74"/>
      <c r="N391" s="74"/>
      <c r="O391" s="19"/>
      <c r="P391" s="290"/>
      <c r="Q391" s="236">
        <f t="shared" si="133"/>
        <v>0</v>
      </c>
      <c r="R391" s="236">
        <f t="shared" si="134"/>
        <v>0</v>
      </c>
      <c r="S391" s="235"/>
      <c r="T391" s="235"/>
      <c r="U391" s="236">
        <f t="shared" si="135"/>
        <v>0</v>
      </c>
      <c r="V391" s="235"/>
      <c r="W391" s="232">
        <f t="shared" si="136"/>
        <v>0</v>
      </c>
      <c r="X391" s="235"/>
      <c r="Y391" s="235"/>
      <c r="Z391" s="235"/>
    </row>
    <row r="392" spans="1:26" hidden="1" outlineLevel="2">
      <c r="A392" s="160"/>
      <c r="B392" s="74"/>
      <c r="C392" s="207"/>
      <c r="D392" s="208"/>
      <c r="E392" s="133"/>
      <c r="F392" s="261"/>
      <c r="G392" s="138"/>
      <c r="H392" s="139"/>
      <c r="I392" s="206"/>
      <c r="J392" s="206"/>
      <c r="K392" s="206"/>
      <c r="L392" s="137"/>
      <c r="M392" s="74"/>
      <c r="N392" s="19"/>
      <c r="O392" s="19"/>
      <c r="P392" s="290"/>
      <c r="Q392" s="236">
        <f t="shared" si="133"/>
        <v>0</v>
      </c>
      <c r="R392" s="236">
        <f t="shared" si="134"/>
        <v>0</v>
      </c>
      <c r="S392" s="235"/>
      <c r="T392" s="235"/>
      <c r="U392" s="236">
        <f t="shared" si="135"/>
        <v>0</v>
      </c>
      <c r="V392" s="235"/>
      <c r="W392" s="232">
        <f t="shared" si="136"/>
        <v>0</v>
      </c>
      <c r="X392" s="235"/>
      <c r="Y392" s="235"/>
      <c r="Z392" s="235"/>
    </row>
    <row r="393" spans="1:26" hidden="1" outlineLevel="2">
      <c r="A393" s="160"/>
      <c r="B393" s="74"/>
      <c r="C393" s="207"/>
      <c r="D393" s="208"/>
      <c r="E393" s="133"/>
      <c r="F393" s="261"/>
      <c r="G393" s="138"/>
      <c r="H393" s="139"/>
      <c r="I393" s="206"/>
      <c r="J393" s="206"/>
      <c r="K393" s="206"/>
      <c r="L393" s="137"/>
      <c r="M393" s="74"/>
      <c r="N393" s="19"/>
      <c r="O393" s="19"/>
      <c r="P393" s="290"/>
      <c r="Q393" s="236">
        <f t="shared" si="133"/>
        <v>0</v>
      </c>
      <c r="R393" s="236">
        <f>SUM(S393:T393)</f>
        <v>0</v>
      </c>
      <c r="S393" s="235"/>
      <c r="T393" s="235"/>
      <c r="U393" s="236">
        <f t="shared" si="135"/>
        <v>0</v>
      </c>
      <c r="V393" s="235"/>
      <c r="W393" s="232">
        <f t="shared" si="136"/>
        <v>0</v>
      </c>
      <c r="X393" s="235"/>
      <c r="Y393" s="235"/>
      <c r="Z393" s="235"/>
    </row>
    <row r="394" spans="1:26" hidden="1" outlineLevel="2">
      <c r="A394" s="164"/>
      <c r="B394" s="351"/>
      <c r="C394" s="227"/>
      <c r="D394" s="228"/>
      <c r="E394" s="165"/>
      <c r="F394" s="279"/>
      <c r="G394" s="166"/>
      <c r="H394" s="167"/>
      <c r="I394" s="229"/>
      <c r="J394" s="229"/>
      <c r="K394" s="229"/>
      <c r="L394" s="230"/>
      <c r="M394" s="351"/>
      <c r="N394" s="168"/>
      <c r="O394" s="168"/>
      <c r="P394" s="291"/>
      <c r="Q394" s="233"/>
      <c r="R394" s="233"/>
      <c r="S394" s="233"/>
      <c r="T394" s="233"/>
      <c r="U394" s="233"/>
      <c r="V394" s="233"/>
      <c r="W394" s="233"/>
      <c r="X394" s="233"/>
      <c r="Y394" s="233"/>
      <c r="Z394" s="233"/>
    </row>
    <row r="395" spans="1:26" s="75" customFormat="1" outlineLevel="1" collapsed="1">
      <c r="A395" s="237"/>
      <c r="B395" s="238"/>
      <c r="C395" s="239"/>
      <c r="D395" s="240"/>
      <c r="E395" s="241"/>
      <c r="F395" s="264"/>
      <c r="G395" s="242"/>
      <c r="H395" s="243"/>
      <c r="I395" s="244"/>
      <c r="J395" s="244"/>
      <c r="K395" s="244"/>
      <c r="L395" s="150" t="str">
        <f>CONCATENATE(L396," ",N396,M396," ",L397," ",N397,M397," "," ",L398," ",N398,M398," ",L399," ",N399,M399," ",L400," ",N400,M400," ",L401," ",N401,M401," ",L402," ",N402,M402," ",L403," ",N403,M403)</f>
        <v xml:space="preserve">                </v>
      </c>
      <c r="M395" s="243"/>
      <c r="N395" s="243"/>
      <c r="O395" s="287">
        <f>SUM(O396:O403)</f>
        <v>0</v>
      </c>
      <c r="P395" s="289"/>
      <c r="Q395" s="246">
        <f>SUM(Q396:Q403)</f>
        <v>0</v>
      </c>
      <c r="R395" s="246">
        <f t="shared" ref="R395:Y395" si="137">SUM(R396:R403)</f>
        <v>0</v>
      </c>
      <c r="S395" s="246">
        <f t="shared" si="137"/>
        <v>0</v>
      </c>
      <c r="T395" s="246">
        <f t="shared" si="137"/>
        <v>0</v>
      </c>
      <c r="U395" s="246">
        <f t="shared" si="137"/>
        <v>0</v>
      </c>
      <c r="V395" s="246">
        <f t="shared" si="137"/>
        <v>0</v>
      </c>
      <c r="W395" s="246">
        <f t="shared" si="137"/>
        <v>0</v>
      </c>
      <c r="X395" s="246">
        <f t="shared" si="137"/>
        <v>0</v>
      </c>
      <c r="Y395" s="246">
        <f t="shared" si="137"/>
        <v>0</v>
      </c>
      <c r="Z395" s="246">
        <f>SUM(Z396:Z403)</f>
        <v>0</v>
      </c>
    </row>
    <row r="396" spans="1:26" hidden="1" outlineLevel="2">
      <c r="A396" s="19"/>
      <c r="B396" s="74"/>
      <c r="C396" s="207"/>
      <c r="D396" s="208"/>
      <c r="E396" s="133"/>
      <c r="F396" s="261"/>
      <c r="G396" s="138"/>
      <c r="H396" s="135"/>
      <c r="I396" s="206"/>
      <c r="J396" s="206"/>
      <c r="K396" s="206"/>
      <c r="L396" s="137"/>
      <c r="M396" s="163"/>
      <c r="N396" s="163"/>
      <c r="O396" s="163"/>
      <c r="P396" s="205"/>
      <c r="Q396" s="236">
        <f>SUM(R396,U396)</f>
        <v>0</v>
      </c>
      <c r="R396" s="236">
        <f>SUM(S396:T396)</f>
        <v>0</v>
      </c>
      <c r="S396" s="236"/>
      <c r="T396" s="236"/>
      <c r="U396" s="236">
        <f>SUM(V396:Y396)</f>
        <v>0</v>
      </c>
      <c r="V396" s="236"/>
      <c r="W396" s="232">
        <f>V396*0.304</f>
        <v>0</v>
      </c>
      <c r="X396" s="236"/>
      <c r="Y396" s="236"/>
      <c r="Z396" s="236"/>
    </row>
    <row r="397" spans="1:26" hidden="1" outlineLevel="2">
      <c r="A397" s="19"/>
      <c r="B397" s="74"/>
      <c r="C397" s="207"/>
      <c r="D397" s="208"/>
      <c r="E397" s="133"/>
      <c r="F397" s="261"/>
      <c r="G397" s="138"/>
      <c r="H397" s="135"/>
      <c r="I397" s="206"/>
      <c r="J397" s="206"/>
      <c r="K397" s="206"/>
      <c r="L397" s="137"/>
      <c r="M397" s="163"/>
      <c r="N397" s="163"/>
      <c r="O397" s="163"/>
      <c r="P397" s="205"/>
      <c r="Q397" s="236">
        <f t="shared" ref="Q397:Q403" si="138">SUM(R397,U397)</f>
        <v>0</v>
      </c>
      <c r="R397" s="236">
        <f t="shared" ref="R397:R402" si="139">SUM(S397:T397)</f>
        <v>0</v>
      </c>
      <c r="S397" s="236"/>
      <c r="T397" s="236"/>
      <c r="U397" s="236">
        <f t="shared" ref="U397:U403" si="140">SUM(V397:Y397)</f>
        <v>0</v>
      </c>
      <c r="V397" s="236"/>
      <c r="W397" s="232">
        <f t="shared" ref="W397:W403" si="141">V397*0.304</f>
        <v>0</v>
      </c>
      <c r="X397" s="236"/>
      <c r="Y397" s="236"/>
      <c r="Z397" s="236"/>
    </row>
    <row r="398" spans="1:26" hidden="1" outlineLevel="2">
      <c r="A398" s="19"/>
      <c r="B398" s="74"/>
      <c r="C398" s="207"/>
      <c r="D398" s="208"/>
      <c r="E398" s="133"/>
      <c r="F398" s="261"/>
      <c r="G398" s="138"/>
      <c r="H398" s="135"/>
      <c r="I398" s="206"/>
      <c r="J398" s="206"/>
      <c r="K398" s="206"/>
      <c r="L398" s="137"/>
      <c r="M398" s="163"/>
      <c r="N398" s="163"/>
      <c r="O398" s="163"/>
      <c r="P398" s="205"/>
      <c r="Q398" s="236">
        <f t="shared" si="138"/>
        <v>0</v>
      </c>
      <c r="R398" s="236">
        <f t="shared" si="139"/>
        <v>0</v>
      </c>
      <c r="S398" s="236"/>
      <c r="T398" s="236"/>
      <c r="U398" s="236">
        <f t="shared" si="140"/>
        <v>0</v>
      </c>
      <c r="V398" s="236"/>
      <c r="W398" s="232">
        <f t="shared" si="141"/>
        <v>0</v>
      </c>
      <c r="X398" s="236"/>
      <c r="Y398" s="236"/>
      <c r="Z398" s="236"/>
    </row>
    <row r="399" spans="1:26" hidden="1" outlineLevel="2">
      <c r="A399" s="19"/>
      <c r="B399" s="74"/>
      <c r="C399" s="207"/>
      <c r="D399" s="208"/>
      <c r="E399" s="133"/>
      <c r="F399" s="261"/>
      <c r="G399" s="138"/>
      <c r="H399" s="135"/>
      <c r="I399" s="206"/>
      <c r="J399" s="206"/>
      <c r="K399" s="206"/>
      <c r="L399" s="137"/>
      <c r="M399" s="163"/>
      <c r="N399" s="163"/>
      <c r="O399" s="163"/>
      <c r="P399" s="205"/>
      <c r="Q399" s="236">
        <f t="shared" si="138"/>
        <v>0</v>
      </c>
      <c r="R399" s="236">
        <f t="shared" si="139"/>
        <v>0</v>
      </c>
      <c r="S399" s="236"/>
      <c r="T399" s="236"/>
      <c r="U399" s="236">
        <f t="shared" si="140"/>
        <v>0</v>
      </c>
      <c r="V399" s="236"/>
      <c r="W399" s="232">
        <f t="shared" si="141"/>
        <v>0</v>
      </c>
      <c r="X399" s="236"/>
      <c r="Y399" s="236"/>
      <c r="Z399" s="236"/>
    </row>
    <row r="400" spans="1:26" hidden="1" outlineLevel="2">
      <c r="A400" s="19"/>
      <c r="B400" s="74"/>
      <c r="C400" s="207"/>
      <c r="D400" s="208"/>
      <c r="E400" s="133"/>
      <c r="F400" s="261"/>
      <c r="G400" s="138"/>
      <c r="H400" s="135"/>
      <c r="I400" s="206"/>
      <c r="J400" s="206"/>
      <c r="K400" s="206"/>
      <c r="L400" s="137"/>
      <c r="M400" s="163"/>
      <c r="N400" s="163"/>
      <c r="O400" s="163"/>
      <c r="P400" s="205"/>
      <c r="Q400" s="236">
        <f t="shared" si="138"/>
        <v>0</v>
      </c>
      <c r="R400" s="236">
        <f t="shared" si="139"/>
        <v>0</v>
      </c>
      <c r="S400" s="236"/>
      <c r="T400" s="236"/>
      <c r="U400" s="236">
        <f t="shared" si="140"/>
        <v>0</v>
      </c>
      <c r="V400" s="236"/>
      <c r="W400" s="232">
        <f t="shared" si="141"/>
        <v>0</v>
      </c>
      <c r="X400" s="236"/>
      <c r="Y400" s="236"/>
      <c r="Z400" s="236"/>
    </row>
    <row r="401" spans="1:26" hidden="1" outlineLevel="2">
      <c r="A401" s="160"/>
      <c r="B401" s="74"/>
      <c r="C401" s="207"/>
      <c r="D401" s="208"/>
      <c r="E401" s="133"/>
      <c r="F401" s="261"/>
      <c r="G401" s="138"/>
      <c r="H401" s="139"/>
      <c r="I401" s="206"/>
      <c r="J401" s="206"/>
      <c r="K401" s="206"/>
      <c r="L401" s="137"/>
      <c r="M401" s="74"/>
      <c r="N401" s="74"/>
      <c r="O401" s="234"/>
      <c r="P401" s="205"/>
      <c r="Q401" s="236">
        <f t="shared" si="138"/>
        <v>0</v>
      </c>
      <c r="R401" s="236">
        <f t="shared" si="139"/>
        <v>0</v>
      </c>
      <c r="S401" s="235"/>
      <c r="T401" s="235"/>
      <c r="U401" s="236">
        <f t="shared" si="140"/>
        <v>0</v>
      </c>
      <c r="V401" s="235"/>
      <c r="W401" s="232">
        <f t="shared" si="141"/>
        <v>0</v>
      </c>
      <c r="X401" s="235"/>
      <c r="Y401" s="235"/>
      <c r="Z401" s="235"/>
    </row>
    <row r="402" spans="1:26" hidden="1" outlineLevel="2">
      <c r="A402" s="160"/>
      <c r="B402" s="74"/>
      <c r="C402" s="207"/>
      <c r="D402" s="208"/>
      <c r="E402" s="133"/>
      <c r="F402" s="261"/>
      <c r="G402" s="138"/>
      <c r="H402" s="139"/>
      <c r="I402" s="206"/>
      <c r="J402" s="206"/>
      <c r="K402" s="206"/>
      <c r="L402" s="137"/>
      <c r="M402" s="74"/>
      <c r="N402" s="19"/>
      <c r="O402" s="234"/>
      <c r="P402" s="205"/>
      <c r="Q402" s="236">
        <f t="shared" si="138"/>
        <v>0</v>
      </c>
      <c r="R402" s="236">
        <f t="shared" si="139"/>
        <v>0</v>
      </c>
      <c r="S402" s="235"/>
      <c r="T402" s="235"/>
      <c r="U402" s="236">
        <f t="shared" si="140"/>
        <v>0</v>
      </c>
      <c r="V402" s="235"/>
      <c r="W402" s="232">
        <f t="shared" si="141"/>
        <v>0</v>
      </c>
      <c r="X402" s="235"/>
      <c r="Y402" s="235"/>
      <c r="Z402" s="235"/>
    </row>
    <row r="403" spans="1:26" hidden="1" outlineLevel="2">
      <c r="A403" s="160"/>
      <c r="B403" s="74"/>
      <c r="C403" s="207"/>
      <c r="D403" s="208"/>
      <c r="E403" s="133"/>
      <c r="F403" s="261"/>
      <c r="G403" s="138"/>
      <c r="H403" s="139"/>
      <c r="I403" s="206"/>
      <c r="J403" s="206"/>
      <c r="K403" s="206"/>
      <c r="L403" s="137"/>
      <c r="M403" s="74"/>
      <c r="N403" s="19"/>
      <c r="O403" s="234"/>
      <c r="P403" s="205"/>
      <c r="Q403" s="236">
        <f t="shared" si="138"/>
        <v>0</v>
      </c>
      <c r="R403" s="236">
        <f>SUM(S403:T403)</f>
        <v>0</v>
      </c>
      <c r="S403" s="235"/>
      <c r="T403" s="235"/>
      <c r="U403" s="236">
        <f t="shared" si="140"/>
        <v>0</v>
      </c>
      <c r="V403" s="235"/>
      <c r="W403" s="232">
        <f t="shared" si="141"/>
        <v>0</v>
      </c>
      <c r="X403" s="235"/>
      <c r="Y403" s="235"/>
      <c r="Z403" s="235"/>
    </row>
    <row r="404" spans="1:26" hidden="1" outlineLevel="2">
      <c r="A404" s="160"/>
      <c r="B404" s="74"/>
      <c r="C404" s="207"/>
      <c r="D404" s="208"/>
      <c r="E404" s="133"/>
      <c r="F404" s="261"/>
      <c r="G404" s="138"/>
      <c r="H404" s="139"/>
      <c r="I404" s="206"/>
      <c r="J404" s="206"/>
      <c r="K404" s="206"/>
      <c r="L404" s="137"/>
      <c r="M404" s="74"/>
      <c r="N404" s="19"/>
      <c r="O404" s="234"/>
      <c r="P404" s="205"/>
      <c r="Q404" s="235"/>
      <c r="R404" s="235"/>
      <c r="S404" s="235"/>
      <c r="T404" s="235"/>
      <c r="U404" s="235"/>
      <c r="V404" s="235"/>
      <c r="W404" s="235"/>
      <c r="X404" s="235"/>
      <c r="Y404" s="235"/>
      <c r="Z404" s="235"/>
    </row>
    <row r="405" spans="1:26" ht="15.75" outlineLevel="1" thickBot="1">
      <c r="A405" s="296"/>
      <c r="B405" s="297"/>
      <c r="C405" s="298"/>
      <c r="D405" s="299"/>
      <c r="E405" s="300"/>
      <c r="F405" s="301"/>
      <c r="G405" s="302"/>
      <c r="H405" s="303"/>
      <c r="I405" s="304"/>
      <c r="J405" s="304"/>
      <c r="K405" s="304"/>
      <c r="L405" s="305"/>
      <c r="M405" s="297"/>
      <c r="N405" s="306"/>
      <c r="O405" s="307"/>
      <c r="P405" s="308"/>
      <c r="Q405" s="309"/>
      <c r="R405" s="309"/>
      <c r="S405" s="309"/>
      <c r="T405" s="309"/>
      <c r="U405" s="309"/>
      <c r="V405" s="309"/>
      <c r="W405" s="309"/>
      <c r="X405" s="309"/>
      <c r="Y405" s="309"/>
      <c r="Z405" s="309"/>
    </row>
    <row r="406" spans="1:26" ht="19.5" thickBot="1">
      <c r="A406" s="639" t="s">
        <v>70</v>
      </c>
      <c r="B406" s="640"/>
      <c r="C406" s="640"/>
      <c r="D406" s="641"/>
      <c r="E406" s="56" t="s">
        <v>75</v>
      </c>
      <c r="F406" s="278"/>
      <c r="G406" s="57"/>
      <c r="H406" s="58"/>
      <c r="I406" s="68"/>
      <c r="J406" s="68"/>
      <c r="K406" s="68"/>
      <c r="L406" s="59"/>
      <c r="M406" s="58"/>
      <c r="N406" s="58"/>
      <c r="O406" s="311">
        <v>0</v>
      </c>
      <c r="P406" s="61"/>
      <c r="Q406" s="311">
        <v>0</v>
      </c>
      <c r="R406" s="311">
        <v>0</v>
      </c>
      <c r="S406" s="311">
        <v>0</v>
      </c>
      <c r="T406" s="311">
        <v>0</v>
      </c>
      <c r="U406" s="311">
        <v>0</v>
      </c>
      <c r="V406" s="311">
        <v>0</v>
      </c>
      <c r="W406" s="311">
        <v>0</v>
      </c>
      <c r="X406" s="311">
        <v>0</v>
      </c>
      <c r="Y406" s="311">
        <v>0</v>
      </c>
      <c r="Z406" s="310">
        <v>0</v>
      </c>
    </row>
    <row r="407" spans="1:26" s="75" customFormat="1" outlineLevel="1" collapsed="1">
      <c r="A407" s="237"/>
      <c r="B407" s="238"/>
      <c r="C407" s="239"/>
      <c r="D407" s="240"/>
      <c r="E407" s="241"/>
      <c r="F407" s="264"/>
      <c r="G407" s="242"/>
      <c r="H407" s="243"/>
      <c r="I407" s="244"/>
      <c r="J407" s="244"/>
      <c r="K407" s="244"/>
      <c r="L407" s="150" t="str">
        <f>CONCATENATE(L408," ",N408,M408," ",L409," ",N409,M409," "," ",L410," ",N410,M410," ",L411," ",N411,M411," ",L412," ",N412,M412," ",L413," ",N413,M413," ",L414," ",N414,M414," ",L415," ",N415,M415)</f>
        <v xml:space="preserve">                </v>
      </c>
      <c r="M407" s="243"/>
      <c r="N407" s="243"/>
      <c r="O407" s="287">
        <f>SUM(O408:O415)</f>
        <v>0</v>
      </c>
      <c r="P407" s="289"/>
      <c r="Q407" s="246">
        <f>SUM(Q408:Q415)</f>
        <v>0</v>
      </c>
      <c r="R407" s="246">
        <f t="shared" ref="R407:Y407" si="142">SUM(R408:R415)</f>
        <v>0</v>
      </c>
      <c r="S407" s="246">
        <f t="shared" si="142"/>
        <v>0</v>
      </c>
      <c r="T407" s="246">
        <f t="shared" si="142"/>
        <v>0</v>
      </c>
      <c r="U407" s="246">
        <f t="shared" si="142"/>
        <v>0</v>
      </c>
      <c r="V407" s="246">
        <f t="shared" si="142"/>
        <v>0</v>
      </c>
      <c r="W407" s="246">
        <f t="shared" si="142"/>
        <v>0</v>
      </c>
      <c r="X407" s="246">
        <f t="shared" si="142"/>
        <v>0</v>
      </c>
      <c r="Y407" s="246">
        <f t="shared" si="142"/>
        <v>0</v>
      </c>
      <c r="Z407" s="246">
        <f>SUM(Z408:Z415)</f>
        <v>0</v>
      </c>
    </row>
    <row r="408" spans="1:26" hidden="1" outlineLevel="2">
      <c r="A408" s="19"/>
      <c r="B408" s="38"/>
      <c r="C408" s="207"/>
      <c r="D408" s="208"/>
      <c r="E408" s="133"/>
      <c r="F408" s="261"/>
      <c r="G408" s="138"/>
      <c r="H408" s="135"/>
      <c r="I408" s="206"/>
      <c r="J408" s="206"/>
      <c r="K408" s="206"/>
      <c r="L408" s="137"/>
      <c r="M408" s="163"/>
      <c r="N408" s="163"/>
      <c r="O408" s="288"/>
      <c r="P408" s="290"/>
      <c r="Q408" s="236">
        <f>SUM(R408,U408)</f>
        <v>0</v>
      </c>
      <c r="R408" s="236">
        <f>SUM(S408:T408)</f>
        <v>0</v>
      </c>
      <c r="S408" s="236"/>
      <c r="T408" s="236"/>
      <c r="U408" s="236">
        <f>SUM(V408:Y408)</f>
        <v>0</v>
      </c>
      <c r="V408" s="236"/>
      <c r="W408" s="232">
        <f>V408*0.304</f>
        <v>0</v>
      </c>
      <c r="X408" s="236"/>
      <c r="Y408" s="236"/>
      <c r="Z408" s="236"/>
    </row>
    <row r="409" spans="1:26" hidden="1" outlineLevel="2">
      <c r="A409" s="19"/>
      <c r="B409" s="38"/>
      <c r="C409" s="207"/>
      <c r="D409" s="208"/>
      <c r="E409" s="133"/>
      <c r="F409" s="261"/>
      <c r="G409" s="138"/>
      <c r="H409" s="135"/>
      <c r="I409" s="206"/>
      <c r="J409" s="206"/>
      <c r="K409" s="206"/>
      <c r="L409" s="137"/>
      <c r="M409" s="163"/>
      <c r="N409" s="163"/>
      <c r="O409" s="288"/>
      <c r="P409" s="290"/>
      <c r="Q409" s="236">
        <f t="shared" ref="Q409:Q415" si="143">SUM(R409,U409)</f>
        <v>0</v>
      </c>
      <c r="R409" s="236">
        <f t="shared" ref="R409:R414" si="144">SUM(S409:T409)</f>
        <v>0</v>
      </c>
      <c r="S409" s="236"/>
      <c r="T409" s="236"/>
      <c r="U409" s="236">
        <f t="shared" ref="U409:U415" si="145">SUM(V409:Y409)</f>
        <v>0</v>
      </c>
      <c r="V409" s="236"/>
      <c r="W409" s="232">
        <f t="shared" ref="W409:W415" si="146">V409*0.304</f>
        <v>0</v>
      </c>
      <c r="X409" s="236"/>
      <c r="Y409" s="236"/>
      <c r="Z409" s="236"/>
    </row>
    <row r="410" spans="1:26" hidden="1" outlineLevel="2">
      <c r="A410" s="19"/>
      <c r="B410" s="38"/>
      <c r="C410" s="207"/>
      <c r="D410" s="208"/>
      <c r="E410" s="133"/>
      <c r="F410" s="261"/>
      <c r="G410" s="138"/>
      <c r="H410" s="135"/>
      <c r="I410" s="206"/>
      <c r="J410" s="206"/>
      <c r="K410" s="206"/>
      <c r="L410" s="137"/>
      <c r="M410" s="163"/>
      <c r="N410" s="163"/>
      <c r="O410" s="288"/>
      <c r="P410" s="290"/>
      <c r="Q410" s="236">
        <f t="shared" si="143"/>
        <v>0</v>
      </c>
      <c r="R410" s="236">
        <f t="shared" si="144"/>
        <v>0</v>
      </c>
      <c r="S410" s="236"/>
      <c r="T410" s="236"/>
      <c r="U410" s="236">
        <f t="shared" si="145"/>
        <v>0</v>
      </c>
      <c r="V410" s="236"/>
      <c r="W410" s="232">
        <f t="shared" si="146"/>
        <v>0</v>
      </c>
      <c r="X410" s="236"/>
      <c r="Y410" s="236"/>
      <c r="Z410" s="236"/>
    </row>
    <row r="411" spans="1:26" hidden="1" outlineLevel="2">
      <c r="A411" s="19"/>
      <c r="B411" s="38"/>
      <c r="C411" s="207"/>
      <c r="D411" s="208"/>
      <c r="E411" s="133"/>
      <c r="F411" s="261"/>
      <c r="G411" s="138"/>
      <c r="H411" s="135"/>
      <c r="I411" s="206"/>
      <c r="J411" s="206"/>
      <c r="K411" s="206"/>
      <c r="L411" s="137"/>
      <c r="M411" s="163"/>
      <c r="N411" s="163"/>
      <c r="O411" s="288"/>
      <c r="P411" s="290"/>
      <c r="Q411" s="236">
        <f t="shared" si="143"/>
        <v>0</v>
      </c>
      <c r="R411" s="236">
        <f t="shared" si="144"/>
        <v>0</v>
      </c>
      <c r="S411" s="236"/>
      <c r="T411" s="236"/>
      <c r="U411" s="236">
        <f t="shared" si="145"/>
        <v>0</v>
      </c>
      <c r="V411" s="236"/>
      <c r="W411" s="232">
        <f t="shared" si="146"/>
        <v>0</v>
      </c>
      <c r="X411" s="236"/>
      <c r="Y411" s="236"/>
      <c r="Z411" s="236"/>
    </row>
    <row r="412" spans="1:26" hidden="1" outlineLevel="2">
      <c r="A412" s="19"/>
      <c r="B412" s="38"/>
      <c r="C412" s="207"/>
      <c r="D412" s="208"/>
      <c r="E412" s="133"/>
      <c r="F412" s="261"/>
      <c r="G412" s="138"/>
      <c r="H412" s="135"/>
      <c r="I412" s="206"/>
      <c r="J412" s="206"/>
      <c r="K412" s="206"/>
      <c r="L412" s="137"/>
      <c r="M412" s="163"/>
      <c r="N412" s="163"/>
      <c r="O412" s="288"/>
      <c r="P412" s="290"/>
      <c r="Q412" s="236">
        <f t="shared" si="143"/>
        <v>0</v>
      </c>
      <c r="R412" s="236">
        <f t="shared" si="144"/>
        <v>0</v>
      </c>
      <c r="S412" s="236"/>
      <c r="T412" s="236"/>
      <c r="U412" s="236">
        <f t="shared" si="145"/>
        <v>0</v>
      </c>
      <c r="V412" s="236"/>
      <c r="W412" s="232">
        <f t="shared" si="146"/>
        <v>0</v>
      </c>
      <c r="X412" s="236"/>
      <c r="Y412" s="236"/>
      <c r="Z412" s="236"/>
    </row>
    <row r="413" spans="1:26" hidden="1" outlineLevel="2">
      <c r="A413" s="160"/>
      <c r="B413" s="38"/>
      <c r="C413" s="207"/>
      <c r="D413" s="208"/>
      <c r="E413" s="133"/>
      <c r="F413" s="261"/>
      <c r="G413" s="138"/>
      <c r="H413" s="139"/>
      <c r="I413" s="206"/>
      <c r="J413" s="206"/>
      <c r="K413" s="206"/>
      <c r="L413" s="137"/>
      <c r="M413" s="74"/>
      <c r="N413" s="74"/>
      <c r="O413" s="19"/>
      <c r="P413" s="290"/>
      <c r="Q413" s="236">
        <f t="shared" si="143"/>
        <v>0</v>
      </c>
      <c r="R413" s="236">
        <f t="shared" si="144"/>
        <v>0</v>
      </c>
      <c r="S413" s="235"/>
      <c r="T413" s="235"/>
      <c r="U413" s="236">
        <f t="shared" si="145"/>
        <v>0</v>
      </c>
      <c r="V413" s="235"/>
      <c r="W413" s="232">
        <f t="shared" si="146"/>
        <v>0</v>
      </c>
      <c r="X413" s="235"/>
      <c r="Y413" s="235"/>
      <c r="Z413" s="235"/>
    </row>
    <row r="414" spans="1:26" hidden="1" outlineLevel="2">
      <c r="A414" s="160"/>
      <c r="B414" s="38"/>
      <c r="C414" s="207"/>
      <c r="D414" s="208"/>
      <c r="E414" s="133"/>
      <c r="F414" s="261"/>
      <c r="G414" s="138"/>
      <c r="H414" s="139"/>
      <c r="I414" s="206"/>
      <c r="J414" s="206"/>
      <c r="K414" s="206"/>
      <c r="L414" s="137"/>
      <c r="M414" s="74"/>
      <c r="N414" s="19"/>
      <c r="O414" s="19"/>
      <c r="P414" s="290"/>
      <c r="Q414" s="236">
        <f t="shared" si="143"/>
        <v>0</v>
      </c>
      <c r="R414" s="236">
        <f t="shared" si="144"/>
        <v>0</v>
      </c>
      <c r="S414" s="235"/>
      <c r="T414" s="235"/>
      <c r="U414" s="236">
        <f t="shared" si="145"/>
        <v>0</v>
      </c>
      <c r="V414" s="235"/>
      <c r="W414" s="232">
        <f t="shared" si="146"/>
        <v>0</v>
      </c>
      <c r="X414" s="235"/>
      <c r="Y414" s="235"/>
      <c r="Z414" s="235"/>
    </row>
    <row r="415" spans="1:26" hidden="1" outlineLevel="2">
      <c r="A415" s="160"/>
      <c r="B415" s="38"/>
      <c r="C415" s="207"/>
      <c r="D415" s="208"/>
      <c r="E415" s="133"/>
      <c r="F415" s="261"/>
      <c r="G415" s="138"/>
      <c r="H415" s="139"/>
      <c r="I415" s="206"/>
      <c r="J415" s="206"/>
      <c r="K415" s="206"/>
      <c r="L415" s="137"/>
      <c r="M415" s="74"/>
      <c r="N415" s="19"/>
      <c r="O415" s="19"/>
      <c r="P415" s="290"/>
      <c r="Q415" s="236">
        <f t="shared" si="143"/>
        <v>0</v>
      </c>
      <c r="R415" s="236">
        <f>SUM(S415:T415)</f>
        <v>0</v>
      </c>
      <c r="S415" s="235"/>
      <c r="T415" s="235"/>
      <c r="U415" s="236">
        <f t="shared" si="145"/>
        <v>0</v>
      </c>
      <c r="V415" s="235"/>
      <c r="W415" s="232">
        <f t="shared" si="146"/>
        <v>0</v>
      </c>
      <c r="X415" s="235"/>
      <c r="Y415" s="235"/>
      <c r="Z415" s="235"/>
    </row>
    <row r="416" spans="1:26" hidden="1" outlineLevel="2">
      <c r="A416" s="164"/>
      <c r="B416" s="351"/>
      <c r="C416" s="227"/>
      <c r="D416" s="228"/>
      <c r="E416" s="165"/>
      <c r="F416" s="279"/>
      <c r="G416" s="166"/>
      <c r="H416" s="167"/>
      <c r="I416" s="229"/>
      <c r="J416" s="229"/>
      <c r="K416" s="229"/>
      <c r="L416" s="137"/>
      <c r="M416" s="351"/>
      <c r="N416" s="168"/>
      <c r="O416" s="168"/>
      <c r="P416" s="291"/>
      <c r="Q416" s="233"/>
      <c r="R416" s="233"/>
      <c r="S416" s="233"/>
      <c r="T416" s="233"/>
      <c r="U416" s="233"/>
      <c r="V416" s="233"/>
      <c r="W416" s="233"/>
      <c r="X416" s="233"/>
      <c r="Y416" s="233"/>
      <c r="Z416" s="233"/>
    </row>
    <row r="417" spans="1:26" s="75" customFormat="1" outlineLevel="1" collapsed="1">
      <c r="A417" s="237"/>
      <c r="B417" s="238"/>
      <c r="C417" s="239"/>
      <c r="D417" s="240"/>
      <c r="E417" s="241"/>
      <c r="F417" s="264"/>
      <c r="G417" s="242"/>
      <c r="H417" s="243"/>
      <c r="I417" s="244"/>
      <c r="J417" s="244"/>
      <c r="K417" s="244"/>
      <c r="L417" s="150" t="str">
        <f>CONCATENATE(L418," ",N418,M418," ",L419," ",N419,M419," "," ",L420," ",N420,M420," ",L421," ",N421,M421," ",L422," ",N422,M422," ",L423," ",N423,M423," ",L424," ",N424,M424," ",L425," ",N425,M425)</f>
        <v xml:space="preserve">                </v>
      </c>
      <c r="M417" s="243"/>
      <c r="N417" s="243"/>
      <c r="O417" s="287">
        <f>SUM(O418:O425)</f>
        <v>0</v>
      </c>
      <c r="P417" s="289"/>
      <c r="Q417" s="246">
        <f>SUM(Q418:Q425)</f>
        <v>0</v>
      </c>
      <c r="R417" s="246">
        <f t="shared" ref="R417:Y417" si="147">SUM(R418:R425)</f>
        <v>0</v>
      </c>
      <c r="S417" s="246">
        <f t="shared" si="147"/>
        <v>0</v>
      </c>
      <c r="T417" s="246">
        <f t="shared" si="147"/>
        <v>0</v>
      </c>
      <c r="U417" s="246">
        <f t="shared" si="147"/>
        <v>0</v>
      </c>
      <c r="V417" s="246">
        <f t="shared" si="147"/>
        <v>0</v>
      </c>
      <c r="W417" s="246">
        <f t="shared" si="147"/>
        <v>0</v>
      </c>
      <c r="X417" s="246">
        <f t="shared" si="147"/>
        <v>0</v>
      </c>
      <c r="Y417" s="246">
        <f t="shared" si="147"/>
        <v>0</v>
      </c>
      <c r="Z417" s="246">
        <f>SUM(Z418:Z425)</f>
        <v>0</v>
      </c>
    </row>
    <row r="418" spans="1:26" hidden="1" outlineLevel="2">
      <c r="A418" s="19"/>
      <c r="B418" s="38"/>
      <c r="C418" s="207"/>
      <c r="D418" s="208"/>
      <c r="E418" s="133"/>
      <c r="F418" s="261"/>
      <c r="G418" s="138"/>
      <c r="H418" s="135"/>
      <c r="I418" s="206"/>
      <c r="J418" s="206"/>
      <c r="K418" s="206"/>
      <c r="L418" s="137"/>
      <c r="M418" s="163"/>
      <c r="N418" s="163"/>
      <c r="O418" s="288"/>
      <c r="P418" s="290"/>
      <c r="Q418" s="236">
        <f>SUM(R418,U418)</f>
        <v>0</v>
      </c>
      <c r="R418" s="236">
        <f>SUM(S418:T418)</f>
        <v>0</v>
      </c>
      <c r="S418" s="236"/>
      <c r="T418" s="236"/>
      <c r="U418" s="236">
        <f>SUM(V418:Y418)</f>
        <v>0</v>
      </c>
      <c r="V418" s="236"/>
      <c r="W418" s="232">
        <f>V418*0.304</f>
        <v>0</v>
      </c>
      <c r="X418" s="236"/>
      <c r="Y418" s="236"/>
      <c r="Z418" s="236"/>
    </row>
    <row r="419" spans="1:26" hidden="1" outlineLevel="2">
      <c r="A419" s="19"/>
      <c r="B419" s="38"/>
      <c r="C419" s="207"/>
      <c r="D419" s="208"/>
      <c r="E419" s="133"/>
      <c r="F419" s="261"/>
      <c r="G419" s="138"/>
      <c r="H419" s="135"/>
      <c r="I419" s="206"/>
      <c r="J419" s="206"/>
      <c r="K419" s="206"/>
      <c r="L419" s="137"/>
      <c r="M419" s="163"/>
      <c r="N419" s="163"/>
      <c r="O419" s="288"/>
      <c r="P419" s="290"/>
      <c r="Q419" s="236">
        <f t="shared" ref="Q419:Q425" si="148">SUM(R419,U419)</f>
        <v>0</v>
      </c>
      <c r="R419" s="236">
        <f t="shared" ref="R419:R424" si="149">SUM(S419:T419)</f>
        <v>0</v>
      </c>
      <c r="S419" s="236"/>
      <c r="T419" s="236"/>
      <c r="U419" s="236">
        <f t="shared" ref="U419:U425" si="150">SUM(V419:Y419)</f>
        <v>0</v>
      </c>
      <c r="V419" s="236"/>
      <c r="W419" s="232">
        <f t="shared" ref="W419:W425" si="151">V419*0.304</f>
        <v>0</v>
      </c>
      <c r="X419" s="236"/>
      <c r="Y419" s="236"/>
      <c r="Z419" s="236"/>
    </row>
    <row r="420" spans="1:26" hidden="1" outlineLevel="2">
      <c r="A420" s="19"/>
      <c r="B420" s="38"/>
      <c r="C420" s="207"/>
      <c r="D420" s="208"/>
      <c r="E420" s="133"/>
      <c r="F420" s="261"/>
      <c r="G420" s="138"/>
      <c r="H420" s="135"/>
      <c r="I420" s="206"/>
      <c r="J420" s="206"/>
      <c r="K420" s="206"/>
      <c r="L420" s="137"/>
      <c r="M420" s="163"/>
      <c r="N420" s="163"/>
      <c r="O420" s="288"/>
      <c r="P420" s="290"/>
      <c r="Q420" s="236">
        <f t="shared" si="148"/>
        <v>0</v>
      </c>
      <c r="R420" s="236">
        <f t="shared" si="149"/>
        <v>0</v>
      </c>
      <c r="S420" s="236"/>
      <c r="T420" s="236"/>
      <c r="U420" s="236">
        <f t="shared" si="150"/>
        <v>0</v>
      </c>
      <c r="V420" s="236"/>
      <c r="W420" s="232">
        <f t="shared" si="151"/>
        <v>0</v>
      </c>
      <c r="X420" s="236"/>
      <c r="Y420" s="236"/>
      <c r="Z420" s="236"/>
    </row>
    <row r="421" spans="1:26" hidden="1" outlineLevel="2">
      <c r="A421" s="19"/>
      <c r="B421" s="38"/>
      <c r="C421" s="207"/>
      <c r="D421" s="208"/>
      <c r="E421" s="133"/>
      <c r="F421" s="261"/>
      <c r="G421" s="138"/>
      <c r="H421" s="135"/>
      <c r="I421" s="206"/>
      <c r="J421" s="206"/>
      <c r="K421" s="206"/>
      <c r="L421" s="137"/>
      <c r="M421" s="163"/>
      <c r="N421" s="163"/>
      <c r="O421" s="288"/>
      <c r="P421" s="290"/>
      <c r="Q421" s="236">
        <f t="shared" si="148"/>
        <v>0</v>
      </c>
      <c r="R421" s="236">
        <f t="shared" si="149"/>
        <v>0</v>
      </c>
      <c r="S421" s="236"/>
      <c r="T421" s="236"/>
      <c r="U421" s="236">
        <f t="shared" si="150"/>
        <v>0</v>
      </c>
      <c r="V421" s="236"/>
      <c r="W421" s="232">
        <f t="shared" si="151"/>
        <v>0</v>
      </c>
      <c r="X421" s="236"/>
      <c r="Y421" s="236"/>
      <c r="Z421" s="236"/>
    </row>
    <row r="422" spans="1:26" hidden="1" outlineLevel="2">
      <c r="A422" s="19"/>
      <c r="B422" s="38"/>
      <c r="C422" s="207"/>
      <c r="D422" s="208"/>
      <c r="E422" s="133"/>
      <c r="F422" s="261"/>
      <c r="G422" s="138"/>
      <c r="H422" s="135"/>
      <c r="I422" s="206"/>
      <c r="J422" s="206"/>
      <c r="K422" s="206"/>
      <c r="L422" s="137"/>
      <c r="M422" s="163"/>
      <c r="N422" s="163"/>
      <c r="O422" s="288"/>
      <c r="P422" s="290"/>
      <c r="Q422" s="236">
        <f t="shared" si="148"/>
        <v>0</v>
      </c>
      <c r="R422" s="236">
        <f t="shared" si="149"/>
        <v>0</v>
      </c>
      <c r="S422" s="236"/>
      <c r="T422" s="236"/>
      <c r="U422" s="236">
        <f t="shared" si="150"/>
        <v>0</v>
      </c>
      <c r="V422" s="236"/>
      <c r="W422" s="232">
        <f t="shared" si="151"/>
        <v>0</v>
      </c>
      <c r="X422" s="236"/>
      <c r="Y422" s="236"/>
      <c r="Z422" s="236"/>
    </row>
    <row r="423" spans="1:26" hidden="1" outlineLevel="2">
      <c r="A423" s="160"/>
      <c r="B423" s="38"/>
      <c r="C423" s="207"/>
      <c r="D423" s="208"/>
      <c r="E423" s="133"/>
      <c r="F423" s="261"/>
      <c r="G423" s="138"/>
      <c r="H423" s="139"/>
      <c r="I423" s="206"/>
      <c r="J423" s="206"/>
      <c r="K423" s="206"/>
      <c r="L423" s="137"/>
      <c r="M423" s="74"/>
      <c r="N423" s="74"/>
      <c r="O423" s="19"/>
      <c r="P423" s="290"/>
      <c r="Q423" s="236">
        <f t="shared" si="148"/>
        <v>0</v>
      </c>
      <c r="R423" s="236">
        <f t="shared" si="149"/>
        <v>0</v>
      </c>
      <c r="S423" s="235"/>
      <c r="T423" s="235"/>
      <c r="U423" s="236">
        <f t="shared" si="150"/>
        <v>0</v>
      </c>
      <c r="V423" s="235"/>
      <c r="W423" s="232">
        <f t="shared" si="151"/>
        <v>0</v>
      </c>
      <c r="X423" s="235"/>
      <c r="Y423" s="235"/>
      <c r="Z423" s="235"/>
    </row>
    <row r="424" spans="1:26" hidden="1" outlineLevel="2">
      <c r="A424" s="160"/>
      <c r="B424" s="38"/>
      <c r="C424" s="207"/>
      <c r="D424" s="208"/>
      <c r="E424" s="133"/>
      <c r="F424" s="261"/>
      <c r="G424" s="138"/>
      <c r="H424" s="139"/>
      <c r="I424" s="206"/>
      <c r="J424" s="206"/>
      <c r="K424" s="206"/>
      <c r="L424" s="137"/>
      <c r="M424" s="74"/>
      <c r="N424" s="19"/>
      <c r="O424" s="19"/>
      <c r="P424" s="290"/>
      <c r="Q424" s="236">
        <f t="shared" si="148"/>
        <v>0</v>
      </c>
      <c r="R424" s="236">
        <f t="shared" si="149"/>
        <v>0</v>
      </c>
      <c r="S424" s="235"/>
      <c r="T424" s="235"/>
      <c r="U424" s="236">
        <f t="shared" si="150"/>
        <v>0</v>
      </c>
      <c r="V424" s="235"/>
      <c r="W424" s="232">
        <f t="shared" si="151"/>
        <v>0</v>
      </c>
      <c r="X424" s="235"/>
      <c r="Y424" s="235"/>
      <c r="Z424" s="235"/>
    </row>
    <row r="425" spans="1:26" hidden="1" outlineLevel="2">
      <c r="A425" s="160"/>
      <c r="B425" s="38"/>
      <c r="C425" s="207"/>
      <c r="D425" s="208"/>
      <c r="E425" s="133"/>
      <c r="F425" s="261"/>
      <c r="G425" s="138"/>
      <c r="H425" s="139"/>
      <c r="I425" s="206"/>
      <c r="J425" s="206"/>
      <c r="K425" s="206"/>
      <c r="L425" s="137"/>
      <c r="M425" s="74"/>
      <c r="N425" s="19"/>
      <c r="O425" s="19"/>
      <c r="P425" s="290"/>
      <c r="Q425" s="236">
        <f t="shared" si="148"/>
        <v>0</v>
      </c>
      <c r="R425" s="236">
        <f>SUM(S425:T425)</f>
        <v>0</v>
      </c>
      <c r="S425" s="235"/>
      <c r="T425" s="235"/>
      <c r="U425" s="236">
        <f t="shared" si="150"/>
        <v>0</v>
      </c>
      <c r="V425" s="235"/>
      <c r="W425" s="232">
        <f t="shared" si="151"/>
        <v>0</v>
      </c>
      <c r="X425" s="235"/>
      <c r="Y425" s="235"/>
      <c r="Z425" s="235"/>
    </row>
    <row r="426" spans="1:26" hidden="1" outlineLevel="2">
      <c r="A426" s="164"/>
      <c r="B426" s="351"/>
      <c r="C426" s="227"/>
      <c r="D426" s="228"/>
      <c r="E426" s="165"/>
      <c r="F426" s="279"/>
      <c r="G426" s="166"/>
      <c r="H426" s="167"/>
      <c r="I426" s="229"/>
      <c r="J426" s="229"/>
      <c r="K426" s="229"/>
      <c r="L426" s="137"/>
      <c r="M426" s="351"/>
      <c r="N426" s="168"/>
      <c r="O426" s="168"/>
      <c r="P426" s="291"/>
      <c r="Q426" s="233"/>
      <c r="R426" s="233"/>
      <c r="S426" s="233"/>
      <c r="T426" s="233"/>
      <c r="U426" s="233"/>
      <c r="V426" s="233"/>
      <c r="W426" s="233"/>
      <c r="X426" s="233"/>
      <c r="Y426" s="233"/>
      <c r="Z426" s="233"/>
    </row>
    <row r="427" spans="1:26" s="75" customFormat="1" outlineLevel="1" collapsed="1">
      <c r="A427" s="237"/>
      <c r="B427" s="238"/>
      <c r="C427" s="239"/>
      <c r="D427" s="240"/>
      <c r="E427" s="241"/>
      <c r="F427" s="264"/>
      <c r="G427" s="242"/>
      <c r="H427" s="243"/>
      <c r="I427" s="244"/>
      <c r="J427" s="244"/>
      <c r="K427" s="244"/>
      <c r="L427" s="150" t="str">
        <f>CONCATENATE(L428," ",N428,M428," ",L429," ",N429,M429," "," ",L430," ",N430,M430," ",L431," ",N431,M431," ",L432," ",N432,M432," ",L433," ",N433,M433," ",L434," ",N434,M434," ",L435," ",N435,M435)</f>
        <v xml:space="preserve">                </v>
      </c>
      <c r="M427" s="243"/>
      <c r="N427" s="243"/>
      <c r="O427" s="287">
        <f>SUM(O428:O435)</f>
        <v>0</v>
      </c>
      <c r="P427" s="289"/>
      <c r="Q427" s="246">
        <f>SUM(Q428:Q435)</f>
        <v>0</v>
      </c>
      <c r="R427" s="246">
        <f t="shared" ref="R427:Y427" si="152">SUM(R428:R435)</f>
        <v>0</v>
      </c>
      <c r="S427" s="246">
        <f t="shared" si="152"/>
        <v>0</v>
      </c>
      <c r="T427" s="246">
        <f t="shared" si="152"/>
        <v>0</v>
      </c>
      <c r="U427" s="246">
        <f t="shared" si="152"/>
        <v>0</v>
      </c>
      <c r="V427" s="246">
        <f t="shared" si="152"/>
        <v>0</v>
      </c>
      <c r="W427" s="246">
        <f t="shared" si="152"/>
        <v>0</v>
      </c>
      <c r="X427" s="246">
        <f t="shared" si="152"/>
        <v>0</v>
      </c>
      <c r="Y427" s="246">
        <f t="shared" si="152"/>
        <v>0</v>
      </c>
      <c r="Z427" s="246">
        <f>SUM(Z428:Z435)</f>
        <v>0</v>
      </c>
    </row>
    <row r="428" spans="1:26" hidden="1" outlineLevel="2">
      <c r="A428" s="19"/>
      <c r="B428" s="38"/>
      <c r="C428" s="207"/>
      <c r="D428" s="208"/>
      <c r="E428" s="133"/>
      <c r="F428" s="261"/>
      <c r="G428" s="138"/>
      <c r="H428" s="135"/>
      <c r="I428" s="206"/>
      <c r="J428" s="206"/>
      <c r="K428" s="206"/>
      <c r="L428" s="137"/>
      <c r="M428" s="163"/>
      <c r="N428" s="163"/>
      <c r="O428" s="288"/>
      <c r="P428" s="290"/>
      <c r="Q428" s="236">
        <f>SUM(R428,U428)</f>
        <v>0</v>
      </c>
      <c r="R428" s="236">
        <f>SUM(S428:T428)</f>
        <v>0</v>
      </c>
      <c r="S428" s="236"/>
      <c r="T428" s="236"/>
      <c r="U428" s="236">
        <f>SUM(V428:Y428)</f>
        <v>0</v>
      </c>
      <c r="V428" s="236"/>
      <c r="W428" s="232">
        <f>V428*0.304</f>
        <v>0</v>
      </c>
      <c r="X428" s="236"/>
      <c r="Y428" s="236"/>
      <c r="Z428" s="236"/>
    </row>
    <row r="429" spans="1:26" hidden="1" outlineLevel="2">
      <c r="A429" s="19"/>
      <c r="B429" s="38"/>
      <c r="C429" s="207"/>
      <c r="D429" s="208"/>
      <c r="E429" s="133"/>
      <c r="F429" s="261"/>
      <c r="G429" s="138"/>
      <c r="H429" s="135"/>
      <c r="I429" s="206"/>
      <c r="J429" s="206"/>
      <c r="K429" s="206"/>
      <c r="L429" s="137"/>
      <c r="M429" s="163"/>
      <c r="N429" s="163"/>
      <c r="O429" s="288"/>
      <c r="P429" s="290"/>
      <c r="Q429" s="236">
        <f t="shared" ref="Q429:Q435" si="153">SUM(R429,U429)</f>
        <v>0</v>
      </c>
      <c r="R429" s="236">
        <f t="shared" ref="R429:R434" si="154">SUM(S429:T429)</f>
        <v>0</v>
      </c>
      <c r="S429" s="236"/>
      <c r="T429" s="236"/>
      <c r="U429" s="236">
        <f t="shared" ref="U429:U435" si="155">SUM(V429:Y429)</f>
        <v>0</v>
      </c>
      <c r="V429" s="236"/>
      <c r="W429" s="232">
        <f t="shared" ref="W429:W435" si="156">V429*0.304</f>
        <v>0</v>
      </c>
      <c r="X429" s="236"/>
      <c r="Y429" s="236"/>
      <c r="Z429" s="236"/>
    </row>
    <row r="430" spans="1:26" hidden="1" outlineLevel="2">
      <c r="A430" s="19"/>
      <c r="B430" s="38"/>
      <c r="C430" s="207"/>
      <c r="D430" s="208"/>
      <c r="E430" s="133"/>
      <c r="F430" s="261"/>
      <c r="G430" s="138"/>
      <c r="H430" s="135"/>
      <c r="I430" s="206"/>
      <c r="J430" s="206"/>
      <c r="K430" s="206"/>
      <c r="L430" s="137"/>
      <c r="M430" s="163"/>
      <c r="N430" s="163"/>
      <c r="O430" s="288"/>
      <c r="P430" s="290"/>
      <c r="Q430" s="236">
        <f t="shared" si="153"/>
        <v>0</v>
      </c>
      <c r="R430" s="236">
        <f t="shared" si="154"/>
        <v>0</v>
      </c>
      <c r="S430" s="236"/>
      <c r="T430" s="236"/>
      <c r="U430" s="236">
        <f t="shared" si="155"/>
        <v>0</v>
      </c>
      <c r="V430" s="236"/>
      <c r="W430" s="232">
        <f t="shared" si="156"/>
        <v>0</v>
      </c>
      <c r="X430" s="236"/>
      <c r="Y430" s="236"/>
      <c r="Z430" s="236"/>
    </row>
    <row r="431" spans="1:26" hidden="1" outlineLevel="2">
      <c r="A431" s="19"/>
      <c r="B431" s="38"/>
      <c r="C431" s="207"/>
      <c r="D431" s="208"/>
      <c r="E431" s="133"/>
      <c r="F431" s="261"/>
      <c r="G431" s="138"/>
      <c r="H431" s="135"/>
      <c r="I431" s="206"/>
      <c r="J431" s="206"/>
      <c r="K431" s="206"/>
      <c r="L431" s="137"/>
      <c r="M431" s="163"/>
      <c r="N431" s="163"/>
      <c r="O431" s="288"/>
      <c r="P431" s="290"/>
      <c r="Q431" s="236">
        <f t="shared" si="153"/>
        <v>0</v>
      </c>
      <c r="R431" s="236">
        <f t="shared" si="154"/>
        <v>0</v>
      </c>
      <c r="S431" s="236"/>
      <c r="T431" s="236"/>
      <c r="U431" s="236">
        <f t="shared" si="155"/>
        <v>0</v>
      </c>
      <c r="V431" s="236"/>
      <c r="W431" s="232">
        <f t="shared" si="156"/>
        <v>0</v>
      </c>
      <c r="X431" s="236"/>
      <c r="Y431" s="236"/>
      <c r="Z431" s="236"/>
    </row>
    <row r="432" spans="1:26" hidden="1" outlineLevel="2">
      <c r="A432" s="19"/>
      <c r="B432" s="38"/>
      <c r="C432" s="207"/>
      <c r="D432" s="208"/>
      <c r="E432" s="133"/>
      <c r="F432" s="261"/>
      <c r="G432" s="138"/>
      <c r="H432" s="135"/>
      <c r="I432" s="206"/>
      <c r="J432" s="206"/>
      <c r="K432" s="206"/>
      <c r="L432" s="137"/>
      <c r="M432" s="163"/>
      <c r="N432" s="163"/>
      <c r="O432" s="288"/>
      <c r="P432" s="290"/>
      <c r="Q432" s="236">
        <f t="shared" si="153"/>
        <v>0</v>
      </c>
      <c r="R432" s="236">
        <f t="shared" si="154"/>
        <v>0</v>
      </c>
      <c r="S432" s="236"/>
      <c r="T432" s="236"/>
      <c r="U432" s="236">
        <f t="shared" si="155"/>
        <v>0</v>
      </c>
      <c r="V432" s="236"/>
      <c r="W432" s="232">
        <f t="shared" si="156"/>
        <v>0</v>
      </c>
      <c r="X432" s="236"/>
      <c r="Y432" s="236"/>
      <c r="Z432" s="236"/>
    </row>
    <row r="433" spans="1:26" hidden="1" outlineLevel="2">
      <c r="A433" s="160"/>
      <c r="B433" s="38"/>
      <c r="C433" s="207"/>
      <c r="D433" s="208"/>
      <c r="E433" s="133"/>
      <c r="F433" s="261"/>
      <c r="G433" s="138"/>
      <c r="H433" s="139"/>
      <c r="I433" s="206"/>
      <c r="J433" s="206"/>
      <c r="K433" s="206"/>
      <c r="L433" s="137"/>
      <c r="M433" s="74"/>
      <c r="N433" s="74"/>
      <c r="O433" s="19"/>
      <c r="P433" s="290"/>
      <c r="Q433" s="236">
        <f t="shared" si="153"/>
        <v>0</v>
      </c>
      <c r="R433" s="236">
        <f t="shared" si="154"/>
        <v>0</v>
      </c>
      <c r="S433" s="235"/>
      <c r="T433" s="235"/>
      <c r="U433" s="236">
        <f t="shared" si="155"/>
        <v>0</v>
      </c>
      <c r="V433" s="235"/>
      <c r="W433" s="232">
        <f t="shared" si="156"/>
        <v>0</v>
      </c>
      <c r="X433" s="235"/>
      <c r="Y433" s="235"/>
      <c r="Z433" s="235"/>
    </row>
    <row r="434" spans="1:26" hidden="1" outlineLevel="2">
      <c r="A434" s="160"/>
      <c r="B434" s="38"/>
      <c r="C434" s="207"/>
      <c r="D434" s="208"/>
      <c r="E434" s="133"/>
      <c r="F434" s="261"/>
      <c r="G434" s="138"/>
      <c r="H434" s="139"/>
      <c r="I434" s="206"/>
      <c r="J434" s="206"/>
      <c r="K434" s="206"/>
      <c r="L434" s="137"/>
      <c r="M434" s="74"/>
      <c r="N434" s="19"/>
      <c r="O434" s="19"/>
      <c r="P434" s="290"/>
      <c r="Q434" s="236">
        <f t="shared" si="153"/>
        <v>0</v>
      </c>
      <c r="R434" s="236">
        <f t="shared" si="154"/>
        <v>0</v>
      </c>
      <c r="S434" s="235"/>
      <c r="T434" s="235"/>
      <c r="U434" s="236">
        <f t="shared" si="155"/>
        <v>0</v>
      </c>
      <c r="V434" s="235"/>
      <c r="W434" s="232">
        <f t="shared" si="156"/>
        <v>0</v>
      </c>
      <c r="X434" s="235"/>
      <c r="Y434" s="235"/>
      <c r="Z434" s="235"/>
    </row>
    <row r="435" spans="1:26" hidden="1" outlineLevel="2">
      <c r="A435" s="160"/>
      <c r="B435" s="38"/>
      <c r="C435" s="207"/>
      <c r="D435" s="208"/>
      <c r="E435" s="133"/>
      <c r="F435" s="261"/>
      <c r="G435" s="138"/>
      <c r="H435" s="139"/>
      <c r="I435" s="206"/>
      <c r="J435" s="206"/>
      <c r="K435" s="206"/>
      <c r="L435" s="137"/>
      <c r="M435" s="74"/>
      <c r="N435" s="19"/>
      <c r="O435" s="19"/>
      <c r="P435" s="290"/>
      <c r="Q435" s="236">
        <f t="shared" si="153"/>
        <v>0</v>
      </c>
      <c r="R435" s="236">
        <f>SUM(S435:T435)</f>
        <v>0</v>
      </c>
      <c r="S435" s="235"/>
      <c r="T435" s="235"/>
      <c r="U435" s="236">
        <f t="shared" si="155"/>
        <v>0</v>
      </c>
      <c r="V435" s="235"/>
      <c r="W435" s="232">
        <f t="shared" si="156"/>
        <v>0</v>
      </c>
      <c r="X435" s="235"/>
      <c r="Y435" s="235"/>
      <c r="Z435" s="235"/>
    </row>
    <row r="436" spans="1:26" hidden="1" outlineLevel="2">
      <c r="A436" s="164"/>
      <c r="B436" s="351"/>
      <c r="C436" s="227"/>
      <c r="D436" s="228"/>
      <c r="E436" s="165"/>
      <c r="F436" s="279"/>
      <c r="G436" s="166"/>
      <c r="H436" s="167"/>
      <c r="I436" s="229"/>
      <c r="J436" s="229"/>
      <c r="K436" s="229"/>
      <c r="L436" s="137"/>
      <c r="M436" s="351"/>
      <c r="N436" s="168"/>
      <c r="O436" s="168"/>
      <c r="P436" s="291"/>
      <c r="Q436" s="233"/>
      <c r="R436" s="233"/>
      <c r="S436" s="233"/>
      <c r="T436" s="233"/>
      <c r="U436" s="233"/>
      <c r="V436" s="233"/>
      <c r="W436" s="233"/>
      <c r="X436" s="233"/>
      <c r="Y436" s="233"/>
      <c r="Z436" s="233"/>
    </row>
    <row r="437" spans="1:26" s="75" customFormat="1" outlineLevel="1" collapsed="1">
      <c r="A437" s="237"/>
      <c r="B437" s="238"/>
      <c r="C437" s="239"/>
      <c r="D437" s="240"/>
      <c r="E437" s="241"/>
      <c r="F437" s="264"/>
      <c r="G437" s="242"/>
      <c r="H437" s="243"/>
      <c r="I437" s="244"/>
      <c r="J437" s="244"/>
      <c r="K437" s="244"/>
      <c r="L437" s="150" t="str">
        <f>CONCATENATE(L438," ",N438,M438," ",L439," ",N439,M439," "," ",L440," ",N440,M440," ",L441," ",N441,M441," ",L442," ",N442,M442," ",L443," ",N443,M443," ",L444," ",N444,M444," ",L445," ",N445,M445)</f>
        <v xml:space="preserve">                </v>
      </c>
      <c r="M437" s="243"/>
      <c r="N437" s="243"/>
      <c r="O437" s="287">
        <f>SUM(O438:O445)</f>
        <v>0</v>
      </c>
      <c r="P437" s="289"/>
      <c r="Q437" s="246">
        <f>SUM(Q438:Q445)</f>
        <v>0</v>
      </c>
      <c r="R437" s="246">
        <f t="shared" ref="R437:Y437" si="157">SUM(R438:R445)</f>
        <v>0</v>
      </c>
      <c r="S437" s="246">
        <f t="shared" si="157"/>
        <v>0</v>
      </c>
      <c r="T437" s="246">
        <f t="shared" si="157"/>
        <v>0</v>
      </c>
      <c r="U437" s="246">
        <f t="shared" si="157"/>
        <v>0</v>
      </c>
      <c r="V437" s="246">
        <f t="shared" si="157"/>
        <v>0</v>
      </c>
      <c r="W437" s="246">
        <f t="shared" si="157"/>
        <v>0</v>
      </c>
      <c r="X437" s="246">
        <f t="shared" si="157"/>
        <v>0</v>
      </c>
      <c r="Y437" s="246">
        <f t="shared" si="157"/>
        <v>0</v>
      </c>
      <c r="Z437" s="246">
        <f>SUM(Z438:Z445)</f>
        <v>0</v>
      </c>
    </row>
    <row r="438" spans="1:26" hidden="1" outlineLevel="2">
      <c r="A438" s="19"/>
      <c r="B438" s="38"/>
      <c r="C438" s="207"/>
      <c r="D438" s="208"/>
      <c r="E438" s="133"/>
      <c r="F438" s="261"/>
      <c r="G438" s="138"/>
      <c r="H438" s="135"/>
      <c r="I438" s="206"/>
      <c r="J438" s="206"/>
      <c r="K438" s="206"/>
      <c r="L438" s="137"/>
      <c r="M438" s="163"/>
      <c r="N438" s="163"/>
      <c r="O438" s="288"/>
      <c r="P438" s="290"/>
      <c r="Q438" s="236">
        <f>SUM(R438,U438)</f>
        <v>0</v>
      </c>
      <c r="R438" s="236">
        <f>SUM(S438:T438)</f>
        <v>0</v>
      </c>
      <c r="S438" s="236"/>
      <c r="T438" s="236"/>
      <c r="U438" s="236">
        <f>SUM(V438:Y438)</f>
        <v>0</v>
      </c>
      <c r="V438" s="236"/>
      <c r="W438" s="232">
        <f>V438*0.304</f>
        <v>0</v>
      </c>
      <c r="X438" s="236"/>
      <c r="Y438" s="236"/>
      <c r="Z438" s="236"/>
    </row>
    <row r="439" spans="1:26" hidden="1" outlineLevel="2">
      <c r="A439" s="19"/>
      <c r="B439" s="38"/>
      <c r="C439" s="207"/>
      <c r="D439" s="208"/>
      <c r="E439" s="133"/>
      <c r="F439" s="261"/>
      <c r="G439" s="138"/>
      <c r="H439" s="135"/>
      <c r="I439" s="206"/>
      <c r="J439" s="206"/>
      <c r="K439" s="206"/>
      <c r="L439" s="137"/>
      <c r="M439" s="163"/>
      <c r="N439" s="163"/>
      <c r="O439" s="288"/>
      <c r="P439" s="290"/>
      <c r="Q439" s="236">
        <f t="shared" ref="Q439:Q445" si="158">SUM(R439,U439)</f>
        <v>0</v>
      </c>
      <c r="R439" s="236">
        <f t="shared" ref="R439:R444" si="159">SUM(S439:T439)</f>
        <v>0</v>
      </c>
      <c r="S439" s="236"/>
      <c r="T439" s="236"/>
      <c r="U439" s="236">
        <f t="shared" ref="U439:U445" si="160">SUM(V439:Y439)</f>
        <v>0</v>
      </c>
      <c r="V439" s="236"/>
      <c r="W439" s="232">
        <f t="shared" ref="W439:W445" si="161">V439*0.304</f>
        <v>0</v>
      </c>
      <c r="X439" s="236"/>
      <c r="Y439" s="236"/>
      <c r="Z439" s="236"/>
    </row>
    <row r="440" spans="1:26" hidden="1" outlineLevel="2">
      <c r="A440" s="19"/>
      <c r="B440" s="38"/>
      <c r="C440" s="207"/>
      <c r="D440" s="208"/>
      <c r="E440" s="133"/>
      <c r="F440" s="261"/>
      <c r="G440" s="138"/>
      <c r="H440" s="135"/>
      <c r="I440" s="206"/>
      <c r="J440" s="206"/>
      <c r="K440" s="206"/>
      <c r="L440" s="137"/>
      <c r="M440" s="163"/>
      <c r="N440" s="163"/>
      <c r="O440" s="288"/>
      <c r="P440" s="290"/>
      <c r="Q440" s="236">
        <f t="shared" si="158"/>
        <v>0</v>
      </c>
      <c r="R440" s="236">
        <f t="shared" si="159"/>
        <v>0</v>
      </c>
      <c r="S440" s="236"/>
      <c r="T440" s="236"/>
      <c r="U440" s="236">
        <f t="shared" si="160"/>
        <v>0</v>
      </c>
      <c r="V440" s="236"/>
      <c r="W440" s="232">
        <f t="shared" si="161"/>
        <v>0</v>
      </c>
      <c r="X440" s="236"/>
      <c r="Y440" s="236"/>
      <c r="Z440" s="236"/>
    </row>
    <row r="441" spans="1:26" hidden="1" outlineLevel="2">
      <c r="A441" s="19"/>
      <c r="B441" s="38"/>
      <c r="C441" s="207"/>
      <c r="D441" s="208"/>
      <c r="E441" s="133"/>
      <c r="F441" s="261"/>
      <c r="G441" s="138"/>
      <c r="H441" s="135"/>
      <c r="I441" s="206"/>
      <c r="J441" s="206"/>
      <c r="K441" s="206"/>
      <c r="L441" s="137"/>
      <c r="M441" s="163"/>
      <c r="N441" s="163"/>
      <c r="O441" s="288"/>
      <c r="P441" s="290"/>
      <c r="Q441" s="236">
        <f t="shared" si="158"/>
        <v>0</v>
      </c>
      <c r="R441" s="236">
        <f t="shared" si="159"/>
        <v>0</v>
      </c>
      <c r="S441" s="236"/>
      <c r="T441" s="236"/>
      <c r="U441" s="236">
        <f t="shared" si="160"/>
        <v>0</v>
      </c>
      <c r="V441" s="236"/>
      <c r="W441" s="232">
        <f t="shared" si="161"/>
        <v>0</v>
      </c>
      <c r="X441" s="236"/>
      <c r="Y441" s="236"/>
      <c r="Z441" s="236"/>
    </row>
    <row r="442" spans="1:26" hidden="1" outlineLevel="2">
      <c r="A442" s="19"/>
      <c r="B442" s="38"/>
      <c r="C442" s="207"/>
      <c r="D442" s="208"/>
      <c r="E442" s="133"/>
      <c r="F442" s="261"/>
      <c r="G442" s="138"/>
      <c r="H442" s="135"/>
      <c r="I442" s="206"/>
      <c r="J442" s="206"/>
      <c r="K442" s="206"/>
      <c r="L442" s="137"/>
      <c r="M442" s="163"/>
      <c r="N442" s="163"/>
      <c r="O442" s="288"/>
      <c r="P442" s="290"/>
      <c r="Q442" s="236">
        <f t="shared" si="158"/>
        <v>0</v>
      </c>
      <c r="R442" s="236">
        <f t="shared" si="159"/>
        <v>0</v>
      </c>
      <c r="S442" s="236"/>
      <c r="T442" s="236"/>
      <c r="U442" s="236">
        <f t="shared" si="160"/>
        <v>0</v>
      </c>
      <c r="V442" s="236"/>
      <c r="W442" s="232">
        <f t="shared" si="161"/>
        <v>0</v>
      </c>
      <c r="X442" s="236"/>
      <c r="Y442" s="236"/>
      <c r="Z442" s="236"/>
    </row>
    <row r="443" spans="1:26" hidden="1" outlineLevel="2">
      <c r="A443" s="160"/>
      <c r="B443" s="38"/>
      <c r="C443" s="207"/>
      <c r="D443" s="208"/>
      <c r="E443" s="133"/>
      <c r="F443" s="261"/>
      <c r="G443" s="138"/>
      <c r="H443" s="139"/>
      <c r="I443" s="206"/>
      <c r="J443" s="206"/>
      <c r="K443" s="206"/>
      <c r="L443" s="137"/>
      <c r="M443" s="74"/>
      <c r="N443" s="74"/>
      <c r="O443" s="19"/>
      <c r="P443" s="290"/>
      <c r="Q443" s="236">
        <f t="shared" si="158"/>
        <v>0</v>
      </c>
      <c r="R443" s="236">
        <f t="shared" si="159"/>
        <v>0</v>
      </c>
      <c r="S443" s="235"/>
      <c r="T443" s="235"/>
      <c r="U443" s="236">
        <f t="shared" si="160"/>
        <v>0</v>
      </c>
      <c r="V443" s="235"/>
      <c r="W443" s="232">
        <f t="shared" si="161"/>
        <v>0</v>
      </c>
      <c r="X443" s="235"/>
      <c r="Y443" s="235"/>
      <c r="Z443" s="235"/>
    </row>
    <row r="444" spans="1:26" hidden="1" outlineLevel="2">
      <c r="A444" s="160"/>
      <c r="B444" s="38"/>
      <c r="C444" s="207"/>
      <c r="D444" s="208"/>
      <c r="E444" s="133"/>
      <c r="F444" s="261"/>
      <c r="G444" s="138"/>
      <c r="H444" s="139"/>
      <c r="I444" s="206"/>
      <c r="J444" s="206"/>
      <c r="K444" s="206"/>
      <c r="L444" s="137"/>
      <c r="M444" s="74"/>
      <c r="N444" s="19"/>
      <c r="O444" s="19"/>
      <c r="P444" s="290"/>
      <c r="Q444" s="236">
        <f t="shared" si="158"/>
        <v>0</v>
      </c>
      <c r="R444" s="236">
        <f t="shared" si="159"/>
        <v>0</v>
      </c>
      <c r="S444" s="235"/>
      <c r="T444" s="235"/>
      <c r="U444" s="236">
        <f t="shared" si="160"/>
        <v>0</v>
      </c>
      <c r="V444" s="235"/>
      <c r="W444" s="232">
        <f t="shared" si="161"/>
        <v>0</v>
      </c>
      <c r="X444" s="235"/>
      <c r="Y444" s="235"/>
      <c r="Z444" s="235"/>
    </row>
    <row r="445" spans="1:26" hidden="1" outlineLevel="2">
      <c r="A445" s="160"/>
      <c r="B445" s="38"/>
      <c r="C445" s="207"/>
      <c r="D445" s="208"/>
      <c r="E445" s="133"/>
      <c r="F445" s="261"/>
      <c r="G445" s="138"/>
      <c r="H445" s="139"/>
      <c r="I445" s="206"/>
      <c r="J445" s="206"/>
      <c r="K445" s="206"/>
      <c r="L445" s="137"/>
      <c r="M445" s="74"/>
      <c r="N445" s="19"/>
      <c r="O445" s="19"/>
      <c r="P445" s="290"/>
      <c r="Q445" s="236">
        <f t="shared" si="158"/>
        <v>0</v>
      </c>
      <c r="R445" s="236">
        <f>SUM(S445:T445)</f>
        <v>0</v>
      </c>
      <c r="S445" s="235"/>
      <c r="T445" s="235"/>
      <c r="U445" s="236">
        <f t="shared" si="160"/>
        <v>0</v>
      </c>
      <c r="V445" s="235"/>
      <c r="W445" s="232">
        <f t="shared" si="161"/>
        <v>0</v>
      </c>
      <c r="X445" s="235"/>
      <c r="Y445" s="235"/>
      <c r="Z445" s="235"/>
    </row>
    <row r="446" spans="1:26" hidden="1" outlineLevel="2">
      <c r="A446" s="164"/>
      <c r="B446" s="351"/>
      <c r="C446" s="227"/>
      <c r="D446" s="228"/>
      <c r="E446" s="165"/>
      <c r="F446" s="279"/>
      <c r="G446" s="166"/>
      <c r="H446" s="167"/>
      <c r="I446" s="229"/>
      <c r="J446" s="229"/>
      <c r="K446" s="229"/>
      <c r="L446" s="137"/>
      <c r="M446" s="351"/>
      <c r="N446" s="168"/>
      <c r="O446" s="168"/>
      <c r="P446" s="291"/>
      <c r="Q446" s="233"/>
      <c r="R446" s="233"/>
      <c r="S446" s="233"/>
      <c r="T446" s="233"/>
      <c r="U446" s="233"/>
      <c r="V446" s="233"/>
      <c r="W446" s="233"/>
      <c r="X446" s="233"/>
      <c r="Y446" s="233"/>
      <c r="Z446" s="233"/>
    </row>
    <row r="447" spans="1:26" s="75" customFormat="1" outlineLevel="1" collapsed="1">
      <c r="A447" s="237"/>
      <c r="B447" s="238"/>
      <c r="C447" s="239"/>
      <c r="D447" s="240"/>
      <c r="E447" s="241"/>
      <c r="F447" s="264"/>
      <c r="G447" s="242"/>
      <c r="H447" s="243"/>
      <c r="I447" s="244"/>
      <c r="J447" s="244"/>
      <c r="K447" s="244"/>
      <c r="L447" s="150" t="str">
        <f>CONCATENATE(L448," ",N448,M448," ",L449," ",N449,M449," "," ",L450," ",N450,M450," ",L451," ",N451,M451," ",L452," ",N452,M452," ",L453," ",N453,M453," ",L454," ",N454,M454," ",L455," ",N455,M455)</f>
        <v xml:space="preserve">                </v>
      </c>
      <c r="M447" s="243"/>
      <c r="N447" s="243"/>
      <c r="O447" s="287">
        <f>SUM(O448:O455)</f>
        <v>0</v>
      </c>
      <c r="P447" s="289"/>
      <c r="Q447" s="246">
        <f>SUM(Q448:Q455)</f>
        <v>0</v>
      </c>
      <c r="R447" s="246">
        <f t="shared" ref="R447:Y447" si="162">SUM(R448:R455)</f>
        <v>0</v>
      </c>
      <c r="S447" s="246">
        <f t="shared" si="162"/>
        <v>0</v>
      </c>
      <c r="T447" s="246">
        <f t="shared" si="162"/>
        <v>0</v>
      </c>
      <c r="U447" s="246">
        <f t="shared" si="162"/>
        <v>0</v>
      </c>
      <c r="V447" s="246">
        <f t="shared" si="162"/>
        <v>0</v>
      </c>
      <c r="W447" s="246">
        <f t="shared" si="162"/>
        <v>0</v>
      </c>
      <c r="X447" s="246">
        <f t="shared" si="162"/>
        <v>0</v>
      </c>
      <c r="Y447" s="246">
        <f t="shared" si="162"/>
        <v>0</v>
      </c>
      <c r="Z447" s="246">
        <f>SUM(Z448:Z455)</f>
        <v>0</v>
      </c>
    </row>
    <row r="448" spans="1:26" hidden="1" outlineLevel="2">
      <c r="A448" s="19"/>
      <c r="B448" s="38"/>
      <c r="C448" s="207"/>
      <c r="D448" s="208"/>
      <c r="E448" s="133"/>
      <c r="F448" s="261"/>
      <c r="G448" s="138"/>
      <c r="H448" s="135"/>
      <c r="I448" s="206"/>
      <c r="J448" s="206"/>
      <c r="K448" s="206"/>
      <c r="L448" s="137"/>
      <c r="M448" s="163"/>
      <c r="N448" s="163"/>
      <c r="O448" s="288"/>
      <c r="P448" s="290"/>
      <c r="Q448" s="236">
        <f>SUM(R448,U448)</f>
        <v>0</v>
      </c>
      <c r="R448" s="236">
        <f>SUM(S448:T448)</f>
        <v>0</v>
      </c>
      <c r="S448" s="236"/>
      <c r="T448" s="236"/>
      <c r="U448" s="236">
        <f>SUM(V448:Y448)</f>
        <v>0</v>
      </c>
      <c r="V448" s="236"/>
      <c r="W448" s="232">
        <f>V448*0.304</f>
        <v>0</v>
      </c>
      <c r="X448" s="236"/>
      <c r="Y448" s="236"/>
      <c r="Z448" s="236"/>
    </row>
    <row r="449" spans="1:26" hidden="1" outlineLevel="2">
      <c r="A449" s="19"/>
      <c r="B449" s="38"/>
      <c r="C449" s="207"/>
      <c r="D449" s="208"/>
      <c r="E449" s="133"/>
      <c r="F449" s="261"/>
      <c r="G449" s="138"/>
      <c r="H449" s="135"/>
      <c r="I449" s="206"/>
      <c r="J449" s="206"/>
      <c r="K449" s="206"/>
      <c r="L449" s="137"/>
      <c r="M449" s="163"/>
      <c r="N449" s="163"/>
      <c r="O449" s="288"/>
      <c r="P449" s="290"/>
      <c r="Q449" s="236">
        <f t="shared" ref="Q449:Q455" si="163">SUM(R449,U449)</f>
        <v>0</v>
      </c>
      <c r="R449" s="236">
        <f t="shared" ref="R449:R454" si="164">SUM(S449:T449)</f>
        <v>0</v>
      </c>
      <c r="S449" s="236"/>
      <c r="T449" s="236"/>
      <c r="U449" s="236">
        <f t="shared" ref="U449:U455" si="165">SUM(V449:Y449)</f>
        <v>0</v>
      </c>
      <c r="V449" s="236"/>
      <c r="W449" s="232">
        <f t="shared" ref="W449:W455" si="166">V449*0.304</f>
        <v>0</v>
      </c>
      <c r="X449" s="236"/>
      <c r="Y449" s="236"/>
      <c r="Z449" s="236"/>
    </row>
    <row r="450" spans="1:26" hidden="1" outlineLevel="2">
      <c r="A450" s="19"/>
      <c r="B450" s="38"/>
      <c r="C450" s="207"/>
      <c r="D450" s="208"/>
      <c r="E450" s="133"/>
      <c r="F450" s="261"/>
      <c r="G450" s="138"/>
      <c r="H450" s="135"/>
      <c r="I450" s="206"/>
      <c r="J450" s="206"/>
      <c r="K450" s="206"/>
      <c r="L450" s="137"/>
      <c r="M450" s="163"/>
      <c r="N450" s="163"/>
      <c r="O450" s="288"/>
      <c r="P450" s="290"/>
      <c r="Q450" s="236">
        <f t="shared" si="163"/>
        <v>0</v>
      </c>
      <c r="R450" s="236">
        <f t="shared" si="164"/>
        <v>0</v>
      </c>
      <c r="S450" s="236"/>
      <c r="T450" s="236"/>
      <c r="U450" s="236">
        <f t="shared" si="165"/>
        <v>0</v>
      </c>
      <c r="V450" s="236"/>
      <c r="W450" s="232">
        <f t="shared" si="166"/>
        <v>0</v>
      </c>
      <c r="X450" s="236"/>
      <c r="Y450" s="236"/>
      <c r="Z450" s="236"/>
    </row>
    <row r="451" spans="1:26" hidden="1" outlineLevel="2">
      <c r="A451" s="19"/>
      <c r="B451" s="38"/>
      <c r="C451" s="207"/>
      <c r="D451" s="208"/>
      <c r="E451" s="133"/>
      <c r="F451" s="261"/>
      <c r="G451" s="138"/>
      <c r="H451" s="135"/>
      <c r="I451" s="206"/>
      <c r="J451" s="206"/>
      <c r="K451" s="206"/>
      <c r="L451" s="137"/>
      <c r="M451" s="163"/>
      <c r="N451" s="163"/>
      <c r="O451" s="288"/>
      <c r="P451" s="290"/>
      <c r="Q451" s="236">
        <f t="shared" si="163"/>
        <v>0</v>
      </c>
      <c r="R451" s="236">
        <f t="shared" si="164"/>
        <v>0</v>
      </c>
      <c r="S451" s="236"/>
      <c r="T451" s="236"/>
      <c r="U451" s="236">
        <f t="shared" si="165"/>
        <v>0</v>
      </c>
      <c r="V451" s="236"/>
      <c r="W451" s="232">
        <f t="shared" si="166"/>
        <v>0</v>
      </c>
      <c r="X451" s="236"/>
      <c r="Y451" s="236"/>
      <c r="Z451" s="236"/>
    </row>
    <row r="452" spans="1:26" hidden="1" outlineLevel="2">
      <c r="A452" s="19"/>
      <c r="B452" s="38"/>
      <c r="C452" s="207"/>
      <c r="D452" s="208"/>
      <c r="E452" s="133"/>
      <c r="F452" s="261"/>
      <c r="G452" s="138"/>
      <c r="H452" s="135"/>
      <c r="I452" s="206"/>
      <c r="J452" s="206"/>
      <c r="K452" s="206"/>
      <c r="L452" s="137"/>
      <c r="M452" s="163"/>
      <c r="N452" s="163"/>
      <c r="O452" s="288"/>
      <c r="P452" s="290"/>
      <c r="Q452" s="236">
        <f t="shared" si="163"/>
        <v>0</v>
      </c>
      <c r="R452" s="236">
        <f t="shared" si="164"/>
        <v>0</v>
      </c>
      <c r="S452" s="236"/>
      <c r="T452" s="236"/>
      <c r="U452" s="236">
        <f t="shared" si="165"/>
        <v>0</v>
      </c>
      <c r="V452" s="236"/>
      <c r="W452" s="232">
        <f t="shared" si="166"/>
        <v>0</v>
      </c>
      <c r="X452" s="236"/>
      <c r="Y452" s="236"/>
      <c r="Z452" s="236"/>
    </row>
    <row r="453" spans="1:26" hidden="1" outlineLevel="2">
      <c r="A453" s="160"/>
      <c r="B453" s="38"/>
      <c r="C453" s="207"/>
      <c r="D453" s="208"/>
      <c r="E453" s="133"/>
      <c r="F453" s="261"/>
      <c r="G453" s="138"/>
      <c r="H453" s="139"/>
      <c r="I453" s="206"/>
      <c r="J453" s="206"/>
      <c r="K453" s="206"/>
      <c r="L453" s="137"/>
      <c r="M453" s="74"/>
      <c r="N453" s="74"/>
      <c r="O453" s="19"/>
      <c r="P453" s="290"/>
      <c r="Q453" s="236">
        <f t="shared" si="163"/>
        <v>0</v>
      </c>
      <c r="R453" s="236">
        <f t="shared" si="164"/>
        <v>0</v>
      </c>
      <c r="S453" s="235"/>
      <c r="T453" s="235"/>
      <c r="U453" s="236">
        <f t="shared" si="165"/>
        <v>0</v>
      </c>
      <c r="V453" s="235"/>
      <c r="W453" s="232">
        <f t="shared" si="166"/>
        <v>0</v>
      </c>
      <c r="X453" s="235"/>
      <c r="Y453" s="235"/>
      <c r="Z453" s="235"/>
    </row>
    <row r="454" spans="1:26" hidden="1" outlineLevel="2">
      <c r="A454" s="160"/>
      <c r="B454" s="38"/>
      <c r="C454" s="207"/>
      <c r="D454" s="208"/>
      <c r="E454" s="133"/>
      <c r="F454" s="261"/>
      <c r="G454" s="138"/>
      <c r="H454" s="139"/>
      <c r="I454" s="206"/>
      <c r="J454" s="206"/>
      <c r="K454" s="206"/>
      <c r="L454" s="137"/>
      <c r="M454" s="74"/>
      <c r="N454" s="19"/>
      <c r="O454" s="19"/>
      <c r="P454" s="290"/>
      <c r="Q454" s="236">
        <f t="shared" si="163"/>
        <v>0</v>
      </c>
      <c r="R454" s="236">
        <f t="shared" si="164"/>
        <v>0</v>
      </c>
      <c r="S454" s="235"/>
      <c r="T454" s="235"/>
      <c r="U454" s="236">
        <f t="shared" si="165"/>
        <v>0</v>
      </c>
      <c r="V454" s="235"/>
      <c r="W454" s="232">
        <f t="shared" si="166"/>
        <v>0</v>
      </c>
      <c r="X454" s="235"/>
      <c r="Y454" s="235"/>
      <c r="Z454" s="235"/>
    </row>
    <row r="455" spans="1:26" hidden="1" outlineLevel="2">
      <c r="A455" s="160"/>
      <c r="B455" s="38"/>
      <c r="C455" s="207"/>
      <c r="D455" s="208"/>
      <c r="E455" s="133"/>
      <c r="F455" s="261"/>
      <c r="G455" s="138"/>
      <c r="H455" s="139"/>
      <c r="I455" s="206"/>
      <c r="J455" s="206"/>
      <c r="K455" s="206"/>
      <c r="L455" s="137"/>
      <c r="M455" s="74"/>
      <c r="N455" s="19"/>
      <c r="O455" s="19"/>
      <c r="P455" s="290"/>
      <c r="Q455" s="236">
        <f t="shared" si="163"/>
        <v>0</v>
      </c>
      <c r="R455" s="236">
        <f>SUM(S455:T455)</f>
        <v>0</v>
      </c>
      <c r="S455" s="235"/>
      <c r="T455" s="235"/>
      <c r="U455" s="236">
        <f t="shared" si="165"/>
        <v>0</v>
      </c>
      <c r="V455" s="235"/>
      <c r="W455" s="232">
        <f t="shared" si="166"/>
        <v>0</v>
      </c>
      <c r="X455" s="235"/>
      <c r="Y455" s="235"/>
      <c r="Z455" s="235"/>
    </row>
    <row r="456" spans="1:26" hidden="1" outlineLevel="2">
      <c r="A456" s="164"/>
      <c r="B456" s="351"/>
      <c r="C456" s="227"/>
      <c r="D456" s="228"/>
      <c r="E456" s="165"/>
      <c r="F456" s="279"/>
      <c r="G456" s="166"/>
      <c r="H456" s="167"/>
      <c r="I456" s="229"/>
      <c r="J456" s="229"/>
      <c r="K456" s="229"/>
      <c r="L456" s="137"/>
      <c r="M456" s="351"/>
      <c r="N456" s="168"/>
      <c r="O456" s="168"/>
      <c r="P456" s="291"/>
      <c r="Q456" s="233"/>
      <c r="R456" s="233"/>
      <c r="S456" s="233"/>
      <c r="T456" s="233"/>
      <c r="U456" s="233"/>
      <c r="V456" s="233"/>
      <c r="W456" s="233"/>
      <c r="X456" s="233"/>
      <c r="Y456" s="233"/>
      <c r="Z456" s="233"/>
    </row>
    <row r="457" spans="1:26" s="75" customFormat="1" outlineLevel="1" collapsed="1">
      <c r="A457" s="237"/>
      <c r="B457" s="238"/>
      <c r="C457" s="239"/>
      <c r="D457" s="240"/>
      <c r="E457" s="241"/>
      <c r="F457" s="264"/>
      <c r="G457" s="242"/>
      <c r="H457" s="243"/>
      <c r="I457" s="244"/>
      <c r="J457" s="244"/>
      <c r="K457" s="244"/>
      <c r="L457" s="150" t="str">
        <f>CONCATENATE(L458," ",N458,M458," ",L459," ",N459,M459," "," ",L460," ",N460,M460," ",L461," ",N461,M461," ",L462," ",N462,M462," ",L463," ",N463,M463," ",L464," ",N464,M464," ",L465," ",N465,M465)</f>
        <v xml:space="preserve">                </v>
      </c>
      <c r="M457" s="243"/>
      <c r="N457" s="243"/>
      <c r="O457" s="287">
        <f>SUM(O458:O465)</f>
        <v>0</v>
      </c>
      <c r="P457" s="289"/>
      <c r="Q457" s="246">
        <f>SUM(Q458:Q465)</f>
        <v>0</v>
      </c>
      <c r="R457" s="246">
        <f t="shared" ref="R457:Y457" si="167">SUM(R458:R465)</f>
        <v>0</v>
      </c>
      <c r="S457" s="246">
        <f t="shared" si="167"/>
        <v>0</v>
      </c>
      <c r="T457" s="246">
        <f t="shared" si="167"/>
        <v>0</v>
      </c>
      <c r="U457" s="246">
        <f t="shared" si="167"/>
        <v>0</v>
      </c>
      <c r="V457" s="246">
        <f t="shared" si="167"/>
        <v>0</v>
      </c>
      <c r="W457" s="246">
        <f t="shared" si="167"/>
        <v>0</v>
      </c>
      <c r="X457" s="246">
        <f t="shared" si="167"/>
        <v>0</v>
      </c>
      <c r="Y457" s="246">
        <f t="shared" si="167"/>
        <v>0</v>
      </c>
      <c r="Z457" s="246">
        <f>SUM(Z458:Z465)</f>
        <v>0</v>
      </c>
    </row>
    <row r="458" spans="1:26" hidden="1" outlineLevel="2">
      <c r="A458" s="19"/>
      <c r="B458" s="38"/>
      <c r="C458" s="207"/>
      <c r="D458" s="208"/>
      <c r="E458" s="133"/>
      <c r="F458" s="261"/>
      <c r="G458" s="138"/>
      <c r="H458" s="135"/>
      <c r="I458" s="206"/>
      <c r="J458" s="206"/>
      <c r="K458" s="206"/>
      <c r="L458" s="137"/>
      <c r="M458" s="163"/>
      <c r="N458" s="163"/>
      <c r="O458" s="288"/>
      <c r="P458" s="290"/>
      <c r="Q458" s="236">
        <f>SUM(R458,U458)</f>
        <v>0</v>
      </c>
      <c r="R458" s="236">
        <f>SUM(S458:T458)</f>
        <v>0</v>
      </c>
      <c r="S458" s="236"/>
      <c r="T458" s="236"/>
      <c r="U458" s="236">
        <f>SUM(V458:Y458)</f>
        <v>0</v>
      </c>
      <c r="V458" s="236"/>
      <c r="W458" s="232">
        <f>V458*0.304</f>
        <v>0</v>
      </c>
      <c r="X458" s="236"/>
      <c r="Y458" s="236"/>
      <c r="Z458" s="236"/>
    </row>
    <row r="459" spans="1:26" hidden="1" outlineLevel="2">
      <c r="A459" s="19"/>
      <c r="B459" s="38"/>
      <c r="C459" s="207"/>
      <c r="D459" s="208"/>
      <c r="E459" s="133"/>
      <c r="F459" s="261"/>
      <c r="G459" s="138"/>
      <c r="H459" s="135"/>
      <c r="I459" s="206"/>
      <c r="J459" s="206"/>
      <c r="K459" s="206"/>
      <c r="L459" s="137"/>
      <c r="M459" s="163"/>
      <c r="N459" s="163"/>
      <c r="O459" s="288"/>
      <c r="P459" s="290"/>
      <c r="Q459" s="236">
        <f t="shared" ref="Q459:Q465" si="168">SUM(R459,U459)</f>
        <v>0</v>
      </c>
      <c r="R459" s="236">
        <f t="shared" ref="R459:R464" si="169">SUM(S459:T459)</f>
        <v>0</v>
      </c>
      <c r="S459" s="236"/>
      <c r="T459" s="236"/>
      <c r="U459" s="236">
        <f t="shared" ref="U459:U465" si="170">SUM(V459:Y459)</f>
        <v>0</v>
      </c>
      <c r="V459" s="236"/>
      <c r="W459" s="232">
        <f t="shared" ref="W459:W465" si="171">V459*0.304</f>
        <v>0</v>
      </c>
      <c r="X459" s="236"/>
      <c r="Y459" s="236"/>
      <c r="Z459" s="236"/>
    </row>
    <row r="460" spans="1:26" hidden="1" outlineLevel="2">
      <c r="A460" s="19"/>
      <c r="B460" s="38"/>
      <c r="C460" s="207"/>
      <c r="D460" s="208"/>
      <c r="E460" s="133"/>
      <c r="F460" s="261"/>
      <c r="G460" s="138"/>
      <c r="H460" s="135"/>
      <c r="I460" s="206"/>
      <c r="J460" s="206"/>
      <c r="K460" s="206"/>
      <c r="L460" s="137"/>
      <c r="M460" s="163"/>
      <c r="N460" s="163"/>
      <c r="O460" s="288"/>
      <c r="P460" s="290"/>
      <c r="Q460" s="236">
        <f t="shared" si="168"/>
        <v>0</v>
      </c>
      <c r="R460" s="236">
        <f t="shared" si="169"/>
        <v>0</v>
      </c>
      <c r="S460" s="236"/>
      <c r="T460" s="236"/>
      <c r="U460" s="236">
        <f t="shared" si="170"/>
        <v>0</v>
      </c>
      <c r="V460" s="236"/>
      <c r="W460" s="232">
        <f t="shared" si="171"/>
        <v>0</v>
      </c>
      <c r="X460" s="236"/>
      <c r="Y460" s="236"/>
      <c r="Z460" s="236"/>
    </row>
    <row r="461" spans="1:26" hidden="1" outlineLevel="2">
      <c r="A461" s="19"/>
      <c r="B461" s="38"/>
      <c r="C461" s="207"/>
      <c r="D461" s="208"/>
      <c r="E461" s="133"/>
      <c r="F461" s="261"/>
      <c r="G461" s="138"/>
      <c r="H461" s="135"/>
      <c r="I461" s="206"/>
      <c r="J461" s="206"/>
      <c r="K461" s="206"/>
      <c r="L461" s="137"/>
      <c r="M461" s="163"/>
      <c r="N461" s="163"/>
      <c r="O461" s="288"/>
      <c r="P461" s="290"/>
      <c r="Q461" s="236">
        <f t="shared" si="168"/>
        <v>0</v>
      </c>
      <c r="R461" s="236">
        <f t="shared" si="169"/>
        <v>0</v>
      </c>
      <c r="S461" s="236"/>
      <c r="T461" s="236"/>
      <c r="U461" s="236">
        <f t="shared" si="170"/>
        <v>0</v>
      </c>
      <c r="V461" s="236"/>
      <c r="W461" s="232">
        <f t="shared" si="171"/>
        <v>0</v>
      </c>
      <c r="X461" s="236"/>
      <c r="Y461" s="236"/>
      <c r="Z461" s="236"/>
    </row>
    <row r="462" spans="1:26" hidden="1" outlineLevel="2">
      <c r="A462" s="19"/>
      <c r="B462" s="38"/>
      <c r="C462" s="207"/>
      <c r="D462" s="208"/>
      <c r="E462" s="133"/>
      <c r="F462" s="261"/>
      <c r="G462" s="138"/>
      <c r="H462" s="135"/>
      <c r="I462" s="206"/>
      <c r="J462" s="206"/>
      <c r="K462" s="206"/>
      <c r="L462" s="137"/>
      <c r="M462" s="163"/>
      <c r="N462" s="163"/>
      <c r="O462" s="288"/>
      <c r="P462" s="290"/>
      <c r="Q462" s="236">
        <f t="shared" si="168"/>
        <v>0</v>
      </c>
      <c r="R462" s="236">
        <f t="shared" si="169"/>
        <v>0</v>
      </c>
      <c r="S462" s="236"/>
      <c r="T462" s="236"/>
      <c r="U462" s="236">
        <f t="shared" si="170"/>
        <v>0</v>
      </c>
      <c r="V462" s="236"/>
      <c r="W462" s="232">
        <f t="shared" si="171"/>
        <v>0</v>
      </c>
      <c r="X462" s="236"/>
      <c r="Y462" s="236"/>
      <c r="Z462" s="236"/>
    </row>
    <row r="463" spans="1:26" hidden="1" outlineLevel="2">
      <c r="A463" s="160"/>
      <c r="B463" s="38"/>
      <c r="C463" s="207"/>
      <c r="D463" s="208"/>
      <c r="E463" s="133"/>
      <c r="F463" s="261"/>
      <c r="G463" s="138"/>
      <c r="H463" s="139"/>
      <c r="I463" s="206"/>
      <c r="J463" s="206"/>
      <c r="K463" s="206"/>
      <c r="L463" s="137"/>
      <c r="M463" s="74"/>
      <c r="N463" s="74"/>
      <c r="O463" s="19"/>
      <c r="P463" s="290"/>
      <c r="Q463" s="236">
        <f t="shared" si="168"/>
        <v>0</v>
      </c>
      <c r="R463" s="236">
        <f t="shared" si="169"/>
        <v>0</v>
      </c>
      <c r="S463" s="235"/>
      <c r="T463" s="235"/>
      <c r="U463" s="236">
        <f t="shared" si="170"/>
        <v>0</v>
      </c>
      <c r="V463" s="235"/>
      <c r="W463" s="232">
        <f t="shared" si="171"/>
        <v>0</v>
      </c>
      <c r="X463" s="235"/>
      <c r="Y463" s="235"/>
      <c r="Z463" s="235"/>
    </row>
    <row r="464" spans="1:26" hidden="1" outlineLevel="2">
      <c r="A464" s="160"/>
      <c r="B464" s="38"/>
      <c r="C464" s="207"/>
      <c r="D464" s="208"/>
      <c r="E464" s="133"/>
      <c r="F464" s="261"/>
      <c r="G464" s="138"/>
      <c r="H464" s="139"/>
      <c r="I464" s="206"/>
      <c r="J464" s="206"/>
      <c r="K464" s="206"/>
      <c r="L464" s="137"/>
      <c r="M464" s="74"/>
      <c r="N464" s="19"/>
      <c r="O464" s="19"/>
      <c r="P464" s="290"/>
      <c r="Q464" s="236">
        <f t="shared" si="168"/>
        <v>0</v>
      </c>
      <c r="R464" s="236">
        <f t="shared" si="169"/>
        <v>0</v>
      </c>
      <c r="S464" s="235"/>
      <c r="T464" s="235"/>
      <c r="U464" s="236">
        <f t="shared" si="170"/>
        <v>0</v>
      </c>
      <c r="V464" s="235"/>
      <c r="W464" s="232">
        <f t="shared" si="171"/>
        <v>0</v>
      </c>
      <c r="X464" s="235"/>
      <c r="Y464" s="235"/>
      <c r="Z464" s="235"/>
    </row>
    <row r="465" spans="1:26" hidden="1" outlineLevel="2">
      <c r="A465" s="160"/>
      <c r="B465" s="38"/>
      <c r="C465" s="207"/>
      <c r="D465" s="208"/>
      <c r="E465" s="133"/>
      <c r="F465" s="261"/>
      <c r="G465" s="138"/>
      <c r="H465" s="139"/>
      <c r="I465" s="206"/>
      <c r="J465" s="206"/>
      <c r="K465" s="206"/>
      <c r="L465" s="137"/>
      <c r="M465" s="74"/>
      <c r="N465" s="19"/>
      <c r="O465" s="19"/>
      <c r="P465" s="290"/>
      <c r="Q465" s="236">
        <f t="shared" si="168"/>
        <v>0</v>
      </c>
      <c r="R465" s="236">
        <f>SUM(S465:T465)</f>
        <v>0</v>
      </c>
      <c r="S465" s="235"/>
      <c r="T465" s="235"/>
      <c r="U465" s="236">
        <f t="shared" si="170"/>
        <v>0</v>
      </c>
      <c r="V465" s="235"/>
      <c r="W465" s="232">
        <f t="shared" si="171"/>
        <v>0</v>
      </c>
      <c r="X465" s="235"/>
      <c r="Y465" s="235"/>
      <c r="Z465" s="235"/>
    </row>
    <row r="466" spans="1:26" hidden="1" outlineLevel="2">
      <c r="A466" s="164"/>
      <c r="B466" s="351"/>
      <c r="C466" s="227"/>
      <c r="D466" s="228"/>
      <c r="E466" s="165"/>
      <c r="F466" s="279"/>
      <c r="G466" s="166"/>
      <c r="H466" s="167"/>
      <c r="I466" s="229"/>
      <c r="J466" s="229"/>
      <c r="K466" s="229"/>
      <c r="L466" s="137"/>
      <c r="M466" s="351"/>
      <c r="N466" s="168"/>
      <c r="O466" s="168"/>
      <c r="P466" s="291"/>
      <c r="Q466" s="233"/>
      <c r="R466" s="233"/>
      <c r="S466" s="233"/>
      <c r="T466" s="233"/>
      <c r="U466" s="233"/>
      <c r="V466" s="233"/>
      <c r="W466" s="233"/>
      <c r="X466" s="233"/>
      <c r="Y466" s="233"/>
      <c r="Z466" s="233"/>
    </row>
    <row r="467" spans="1:26" s="75" customFormat="1" outlineLevel="1" collapsed="1">
      <c r="A467" s="237"/>
      <c r="B467" s="238"/>
      <c r="C467" s="239"/>
      <c r="D467" s="240"/>
      <c r="E467" s="241"/>
      <c r="F467" s="264"/>
      <c r="G467" s="242"/>
      <c r="H467" s="243"/>
      <c r="I467" s="244"/>
      <c r="J467" s="244"/>
      <c r="K467" s="244"/>
      <c r="L467" s="150" t="str">
        <f>CONCATENATE(L468," ",N468,M468," ",L469," ",N469,M469," "," ",L470," ",N470,M470," ",L471," ",N471,M471," ",L472," ",N472,M472," ",L473," ",N473,M473," ",L474," ",N474,M474," ",L475," ",N475,M475)</f>
        <v xml:space="preserve">                </v>
      </c>
      <c r="M467" s="243"/>
      <c r="N467" s="243"/>
      <c r="O467" s="287">
        <f>SUM(O468:O475)</f>
        <v>0</v>
      </c>
      <c r="P467" s="289"/>
      <c r="Q467" s="246">
        <f>SUM(Q468:Q475)</f>
        <v>0</v>
      </c>
      <c r="R467" s="246">
        <f t="shared" ref="R467:Y467" si="172">SUM(R468:R475)</f>
        <v>0</v>
      </c>
      <c r="S467" s="246">
        <f t="shared" si="172"/>
        <v>0</v>
      </c>
      <c r="T467" s="246">
        <f t="shared" si="172"/>
        <v>0</v>
      </c>
      <c r="U467" s="246">
        <f t="shared" si="172"/>
        <v>0</v>
      </c>
      <c r="V467" s="246">
        <f t="shared" si="172"/>
        <v>0</v>
      </c>
      <c r="W467" s="246">
        <f t="shared" si="172"/>
        <v>0</v>
      </c>
      <c r="X467" s="246">
        <f t="shared" si="172"/>
        <v>0</v>
      </c>
      <c r="Y467" s="246">
        <f t="shared" si="172"/>
        <v>0</v>
      </c>
      <c r="Z467" s="246">
        <f>SUM(Z468:Z475)</f>
        <v>0</v>
      </c>
    </row>
    <row r="468" spans="1:26" hidden="1" outlineLevel="2">
      <c r="A468" s="19"/>
      <c r="B468" s="38"/>
      <c r="C468" s="207"/>
      <c r="D468" s="208"/>
      <c r="E468" s="133"/>
      <c r="F468" s="261"/>
      <c r="G468" s="138"/>
      <c r="H468" s="135"/>
      <c r="I468" s="206"/>
      <c r="J468" s="206"/>
      <c r="K468" s="206"/>
      <c r="L468" s="137"/>
      <c r="M468" s="163"/>
      <c r="N468" s="163"/>
      <c r="O468" s="288"/>
      <c r="P468" s="290"/>
      <c r="Q468" s="236">
        <f>SUM(R468,U468)</f>
        <v>0</v>
      </c>
      <c r="R468" s="236">
        <f>SUM(S468:T468)</f>
        <v>0</v>
      </c>
      <c r="S468" s="236"/>
      <c r="T468" s="236"/>
      <c r="U468" s="236">
        <f>SUM(V468:Y468)</f>
        <v>0</v>
      </c>
      <c r="V468" s="236"/>
      <c r="W468" s="232">
        <f>V468*0.304</f>
        <v>0</v>
      </c>
      <c r="X468" s="236"/>
      <c r="Y468" s="236"/>
      <c r="Z468" s="236"/>
    </row>
    <row r="469" spans="1:26" hidden="1" outlineLevel="2">
      <c r="A469" s="19"/>
      <c r="B469" s="38"/>
      <c r="C469" s="207"/>
      <c r="D469" s="208"/>
      <c r="E469" s="133"/>
      <c r="F469" s="261"/>
      <c r="G469" s="138"/>
      <c r="H469" s="135"/>
      <c r="I469" s="206"/>
      <c r="J469" s="206"/>
      <c r="K469" s="206"/>
      <c r="L469" s="137"/>
      <c r="M469" s="163"/>
      <c r="N469" s="163"/>
      <c r="O469" s="288"/>
      <c r="P469" s="290"/>
      <c r="Q469" s="236">
        <f t="shared" ref="Q469:Q475" si="173">SUM(R469,U469)</f>
        <v>0</v>
      </c>
      <c r="R469" s="236">
        <f t="shared" ref="R469:R474" si="174">SUM(S469:T469)</f>
        <v>0</v>
      </c>
      <c r="S469" s="236"/>
      <c r="T469" s="236"/>
      <c r="U469" s="236">
        <f t="shared" ref="U469:U475" si="175">SUM(V469:Y469)</f>
        <v>0</v>
      </c>
      <c r="V469" s="236"/>
      <c r="W469" s="232">
        <f t="shared" ref="W469:W475" si="176">V469*0.304</f>
        <v>0</v>
      </c>
      <c r="X469" s="236"/>
      <c r="Y469" s="236"/>
      <c r="Z469" s="236"/>
    </row>
    <row r="470" spans="1:26" hidden="1" outlineLevel="2">
      <c r="A470" s="19"/>
      <c r="B470" s="38"/>
      <c r="C470" s="207"/>
      <c r="D470" s="208"/>
      <c r="E470" s="133"/>
      <c r="F470" s="261"/>
      <c r="G470" s="138"/>
      <c r="H470" s="135"/>
      <c r="I470" s="206"/>
      <c r="J470" s="206"/>
      <c r="K470" s="206"/>
      <c r="L470" s="137"/>
      <c r="M470" s="163"/>
      <c r="N470" s="163"/>
      <c r="O470" s="288"/>
      <c r="P470" s="290"/>
      <c r="Q470" s="236">
        <f t="shared" si="173"/>
        <v>0</v>
      </c>
      <c r="R470" s="236">
        <f t="shared" si="174"/>
        <v>0</v>
      </c>
      <c r="S470" s="236"/>
      <c r="T470" s="236"/>
      <c r="U470" s="236">
        <f t="shared" si="175"/>
        <v>0</v>
      </c>
      <c r="V470" s="236"/>
      <c r="W470" s="232">
        <f t="shared" si="176"/>
        <v>0</v>
      </c>
      <c r="X470" s="236"/>
      <c r="Y470" s="236"/>
      <c r="Z470" s="236"/>
    </row>
    <row r="471" spans="1:26" hidden="1" outlineLevel="2">
      <c r="A471" s="19"/>
      <c r="B471" s="38"/>
      <c r="C471" s="207"/>
      <c r="D471" s="208"/>
      <c r="E471" s="133"/>
      <c r="F471" s="261"/>
      <c r="G471" s="138"/>
      <c r="H471" s="135"/>
      <c r="I471" s="206"/>
      <c r="J471" s="206"/>
      <c r="K471" s="206"/>
      <c r="L471" s="137"/>
      <c r="M471" s="163"/>
      <c r="N471" s="163"/>
      <c r="O471" s="288"/>
      <c r="P471" s="290"/>
      <c r="Q471" s="236">
        <f t="shared" si="173"/>
        <v>0</v>
      </c>
      <c r="R471" s="236">
        <f t="shared" si="174"/>
        <v>0</v>
      </c>
      <c r="S471" s="236"/>
      <c r="T471" s="236"/>
      <c r="U471" s="236">
        <f t="shared" si="175"/>
        <v>0</v>
      </c>
      <c r="V471" s="236"/>
      <c r="W471" s="232">
        <f t="shared" si="176"/>
        <v>0</v>
      </c>
      <c r="X471" s="236"/>
      <c r="Y471" s="236"/>
      <c r="Z471" s="236"/>
    </row>
    <row r="472" spans="1:26" hidden="1" outlineLevel="2">
      <c r="A472" s="19"/>
      <c r="B472" s="38"/>
      <c r="C472" s="207"/>
      <c r="D472" s="208"/>
      <c r="E472" s="133"/>
      <c r="F472" s="261"/>
      <c r="G472" s="138"/>
      <c r="H472" s="135"/>
      <c r="I472" s="206"/>
      <c r="J472" s="206"/>
      <c r="K472" s="206"/>
      <c r="L472" s="137"/>
      <c r="M472" s="163"/>
      <c r="N472" s="163"/>
      <c r="O472" s="288"/>
      <c r="P472" s="290"/>
      <c r="Q472" s="236">
        <f t="shared" si="173"/>
        <v>0</v>
      </c>
      <c r="R472" s="236">
        <f t="shared" si="174"/>
        <v>0</v>
      </c>
      <c r="S472" s="236"/>
      <c r="T472" s="236"/>
      <c r="U472" s="236">
        <f t="shared" si="175"/>
        <v>0</v>
      </c>
      <c r="V472" s="236"/>
      <c r="W472" s="232">
        <f t="shared" si="176"/>
        <v>0</v>
      </c>
      <c r="X472" s="236"/>
      <c r="Y472" s="236"/>
      <c r="Z472" s="236"/>
    </row>
    <row r="473" spans="1:26" hidden="1" outlineLevel="2">
      <c r="A473" s="160"/>
      <c r="B473" s="38"/>
      <c r="C473" s="207"/>
      <c r="D473" s="208"/>
      <c r="E473" s="133"/>
      <c r="F473" s="261"/>
      <c r="G473" s="138"/>
      <c r="H473" s="139"/>
      <c r="I473" s="206"/>
      <c r="J473" s="206"/>
      <c r="K473" s="206"/>
      <c r="L473" s="137"/>
      <c r="M473" s="74"/>
      <c r="N473" s="74"/>
      <c r="O473" s="19"/>
      <c r="P473" s="290"/>
      <c r="Q473" s="236">
        <f t="shared" si="173"/>
        <v>0</v>
      </c>
      <c r="R473" s="236">
        <f t="shared" si="174"/>
        <v>0</v>
      </c>
      <c r="S473" s="235"/>
      <c r="T473" s="235"/>
      <c r="U473" s="236">
        <f t="shared" si="175"/>
        <v>0</v>
      </c>
      <c r="V473" s="235"/>
      <c r="W473" s="232">
        <f t="shared" si="176"/>
        <v>0</v>
      </c>
      <c r="X473" s="235"/>
      <c r="Y473" s="235"/>
      <c r="Z473" s="235"/>
    </row>
    <row r="474" spans="1:26" hidden="1" outlineLevel="2">
      <c r="A474" s="160"/>
      <c r="B474" s="38"/>
      <c r="C474" s="207"/>
      <c r="D474" s="208"/>
      <c r="E474" s="133"/>
      <c r="F474" s="261"/>
      <c r="G474" s="138"/>
      <c r="H474" s="139"/>
      <c r="I474" s="206"/>
      <c r="J474" s="206"/>
      <c r="K474" s="206"/>
      <c r="L474" s="137"/>
      <c r="M474" s="74"/>
      <c r="N474" s="19"/>
      <c r="O474" s="19"/>
      <c r="P474" s="290"/>
      <c r="Q474" s="236">
        <f t="shared" si="173"/>
        <v>0</v>
      </c>
      <c r="R474" s="236">
        <f t="shared" si="174"/>
        <v>0</v>
      </c>
      <c r="S474" s="235"/>
      <c r="T474" s="235"/>
      <c r="U474" s="236">
        <f t="shared" si="175"/>
        <v>0</v>
      </c>
      <c r="V474" s="235"/>
      <c r="W474" s="232">
        <f t="shared" si="176"/>
        <v>0</v>
      </c>
      <c r="X474" s="235"/>
      <c r="Y474" s="235"/>
      <c r="Z474" s="235"/>
    </row>
    <row r="475" spans="1:26" hidden="1" outlineLevel="2">
      <c r="A475" s="160"/>
      <c r="B475" s="38"/>
      <c r="C475" s="207"/>
      <c r="D475" s="208"/>
      <c r="E475" s="133"/>
      <c r="F475" s="261"/>
      <c r="G475" s="138"/>
      <c r="H475" s="139"/>
      <c r="I475" s="206"/>
      <c r="J475" s="206"/>
      <c r="K475" s="206"/>
      <c r="L475" s="137"/>
      <c r="M475" s="74"/>
      <c r="N475" s="19"/>
      <c r="O475" s="19"/>
      <c r="P475" s="290"/>
      <c r="Q475" s="236">
        <f t="shared" si="173"/>
        <v>0</v>
      </c>
      <c r="R475" s="236">
        <f>SUM(S475:T475)</f>
        <v>0</v>
      </c>
      <c r="S475" s="235"/>
      <c r="T475" s="235"/>
      <c r="U475" s="236">
        <f t="shared" si="175"/>
        <v>0</v>
      </c>
      <c r="V475" s="235"/>
      <c r="W475" s="232">
        <f t="shared" si="176"/>
        <v>0</v>
      </c>
      <c r="X475" s="235"/>
      <c r="Y475" s="235"/>
      <c r="Z475" s="235"/>
    </row>
    <row r="476" spans="1:26" hidden="1" outlineLevel="2">
      <c r="A476" s="164"/>
      <c r="B476" s="351"/>
      <c r="C476" s="227"/>
      <c r="D476" s="228"/>
      <c r="E476" s="165"/>
      <c r="F476" s="279"/>
      <c r="G476" s="166"/>
      <c r="H476" s="167"/>
      <c r="I476" s="229"/>
      <c r="J476" s="229"/>
      <c r="K476" s="229"/>
      <c r="L476" s="137"/>
      <c r="M476" s="351"/>
      <c r="N476" s="168"/>
      <c r="O476" s="168"/>
      <c r="P476" s="291"/>
      <c r="Q476" s="233"/>
      <c r="R476" s="233"/>
      <c r="S476" s="233"/>
      <c r="T476" s="233"/>
      <c r="U476" s="233"/>
      <c r="V476" s="233"/>
      <c r="W476" s="233"/>
      <c r="X476" s="233"/>
      <c r="Y476" s="233"/>
      <c r="Z476" s="233"/>
    </row>
    <row r="477" spans="1:26" s="75" customFormat="1" outlineLevel="1" collapsed="1">
      <c r="A477" s="237"/>
      <c r="B477" s="238"/>
      <c r="C477" s="239"/>
      <c r="D477" s="240"/>
      <c r="E477" s="241"/>
      <c r="F477" s="264"/>
      <c r="G477" s="242"/>
      <c r="H477" s="243"/>
      <c r="I477" s="244"/>
      <c r="J477" s="244"/>
      <c r="K477" s="244"/>
      <c r="L477" s="150" t="str">
        <f>CONCATENATE(L478," ",N478,M478," ",L479," ",N479,M479," "," ",L480," ",N480,M480," ",L481," ",N481,M481," ",L482," ",N482,M482," ",L483," ",N483,M483," ",L484," ",N484,M484," ",L485," ",N485,M485)</f>
        <v xml:space="preserve">                </v>
      </c>
      <c r="M477" s="243"/>
      <c r="N477" s="243"/>
      <c r="O477" s="287">
        <f>SUM(O478:O485)</f>
        <v>0</v>
      </c>
      <c r="P477" s="289"/>
      <c r="Q477" s="246">
        <f>SUM(Q478:Q485)</f>
        <v>0</v>
      </c>
      <c r="R477" s="246">
        <f t="shared" ref="R477:Y477" si="177">SUM(R478:R485)</f>
        <v>0</v>
      </c>
      <c r="S477" s="246">
        <f t="shared" si="177"/>
        <v>0</v>
      </c>
      <c r="T477" s="246">
        <f t="shared" si="177"/>
        <v>0</v>
      </c>
      <c r="U477" s="246">
        <f t="shared" si="177"/>
        <v>0</v>
      </c>
      <c r="V477" s="246">
        <f t="shared" si="177"/>
        <v>0</v>
      </c>
      <c r="W477" s="246">
        <f t="shared" si="177"/>
        <v>0</v>
      </c>
      <c r="X477" s="246">
        <f t="shared" si="177"/>
        <v>0</v>
      </c>
      <c r="Y477" s="246">
        <f t="shared" si="177"/>
        <v>0</v>
      </c>
      <c r="Z477" s="246">
        <f>SUM(Z478:Z485)</f>
        <v>0</v>
      </c>
    </row>
    <row r="478" spans="1:26" hidden="1" outlineLevel="2">
      <c r="A478" s="19"/>
      <c r="B478" s="38"/>
      <c r="C478" s="207"/>
      <c r="D478" s="208"/>
      <c r="E478" s="133"/>
      <c r="F478" s="261"/>
      <c r="G478" s="138"/>
      <c r="H478" s="135"/>
      <c r="I478" s="206"/>
      <c r="J478" s="206"/>
      <c r="K478" s="206"/>
      <c r="L478" s="137"/>
      <c r="M478" s="163"/>
      <c r="N478" s="163"/>
      <c r="O478" s="288"/>
      <c r="P478" s="290"/>
      <c r="Q478" s="236">
        <f>SUM(R478,U478)</f>
        <v>0</v>
      </c>
      <c r="R478" s="236">
        <f>SUM(S478:T478)</f>
        <v>0</v>
      </c>
      <c r="S478" s="236"/>
      <c r="T478" s="236"/>
      <c r="U478" s="236">
        <f>SUM(V478:Y478)</f>
        <v>0</v>
      </c>
      <c r="V478" s="236"/>
      <c r="W478" s="232">
        <f>V478*0.304</f>
        <v>0</v>
      </c>
      <c r="X478" s="236"/>
      <c r="Y478" s="236"/>
      <c r="Z478" s="236"/>
    </row>
    <row r="479" spans="1:26" hidden="1" outlineLevel="2">
      <c r="A479" s="19"/>
      <c r="B479" s="38"/>
      <c r="C479" s="207"/>
      <c r="D479" s="208"/>
      <c r="E479" s="133"/>
      <c r="F479" s="261"/>
      <c r="G479" s="138"/>
      <c r="H479" s="135"/>
      <c r="I479" s="206"/>
      <c r="J479" s="206"/>
      <c r="K479" s="206"/>
      <c r="L479" s="137"/>
      <c r="M479" s="163"/>
      <c r="N479" s="163"/>
      <c r="O479" s="288"/>
      <c r="P479" s="290"/>
      <c r="Q479" s="236">
        <f t="shared" ref="Q479:Q485" si="178">SUM(R479,U479)</f>
        <v>0</v>
      </c>
      <c r="R479" s="236">
        <f t="shared" ref="R479:R484" si="179">SUM(S479:T479)</f>
        <v>0</v>
      </c>
      <c r="S479" s="236"/>
      <c r="T479" s="236"/>
      <c r="U479" s="236">
        <f t="shared" ref="U479:U485" si="180">SUM(V479:Y479)</f>
        <v>0</v>
      </c>
      <c r="V479" s="236"/>
      <c r="W479" s="232">
        <f t="shared" ref="W479:W485" si="181">V479*0.304</f>
        <v>0</v>
      </c>
      <c r="X479" s="236"/>
      <c r="Y479" s="236"/>
      <c r="Z479" s="236"/>
    </row>
    <row r="480" spans="1:26" hidden="1" outlineLevel="2">
      <c r="A480" s="19"/>
      <c r="B480" s="38"/>
      <c r="C480" s="207"/>
      <c r="D480" s="208"/>
      <c r="E480" s="133"/>
      <c r="F480" s="261"/>
      <c r="G480" s="138"/>
      <c r="H480" s="135"/>
      <c r="I480" s="206"/>
      <c r="J480" s="206"/>
      <c r="K480" s="206"/>
      <c r="L480" s="137"/>
      <c r="M480" s="163"/>
      <c r="N480" s="163"/>
      <c r="O480" s="288"/>
      <c r="P480" s="290"/>
      <c r="Q480" s="236">
        <f t="shared" si="178"/>
        <v>0</v>
      </c>
      <c r="R480" s="236">
        <f t="shared" si="179"/>
        <v>0</v>
      </c>
      <c r="S480" s="236"/>
      <c r="T480" s="236"/>
      <c r="U480" s="236">
        <f t="shared" si="180"/>
        <v>0</v>
      </c>
      <c r="V480" s="236"/>
      <c r="W480" s="232">
        <f t="shared" si="181"/>
        <v>0</v>
      </c>
      <c r="X480" s="236"/>
      <c r="Y480" s="236"/>
      <c r="Z480" s="236"/>
    </row>
    <row r="481" spans="1:26" hidden="1" outlineLevel="2">
      <c r="A481" s="19"/>
      <c r="B481" s="38"/>
      <c r="C481" s="207"/>
      <c r="D481" s="208"/>
      <c r="E481" s="133"/>
      <c r="F481" s="261"/>
      <c r="G481" s="138"/>
      <c r="H481" s="135"/>
      <c r="I481" s="206"/>
      <c r="J481" s="206"/>
      <c r="K481" s="206"/>
      <c r="L481" s="137"/>
      <c r="M481" s="163"/>
      <c r="N481" s="163"/>
      <c r="O481" s="288"/>
      <c r="P481" s="290"/>
      <c r="Q481" s="236">
        <f t="shared" si="178"/>
        <v>0</v>
      </c>
      <c r="R481" s="236">
        <f t="shared" si="179"/>
        <v>0</v>
      </c>
      <c r="S481" s="236"/>
      <c r="T481" s="236"/>
      <c r="U481" s="236">
        <f t="shared" si="180"/>
        <v>0</v>
      </c>
      <c r="V481" s="236"/>
      <c r="W481" s="232">
        <f t="shared" si="181"/>
        <v>0</v>
      </c>
      <c r="X481" s="236"/>
      <c r="Y481" s="236"/>
      <c r="Z481" s="236"/>
    </row>
    <row r="482" spans="1:26" hidden="1" outlineLevel="2">
      <c r="A482" s="19"/>
      <c r="B482" s="38"/>
      <c r="C482" s="207"/>
      <c r="D482" s="208"/>
      <c r="E482" s="133"/>
      <c r="F482" s="261"/>
      <c r="G482" s="138"/>
      <c r="H482" s="135"/>
      <c r="I482" s="206"/>
      <c r="J482" s="206"/>
      <c r="K482" s="206"/>
      <c r="L482" s="137"/>
      <c r="M482" s="163"/>
      <c r="N482" s="163"/>
      <c r="O482" s="288"/>
      <c r="P482" s="290"/>
      <c r="Q482" s="236">
        <f t="shared" si="178"/>
        <v>0</v>
      </c>
      <c r="R482" s="236">
        <f t="shared" si="179"/>
        <v>0</v>
      </c>
      <c r="S482" s="236"/>
      <c r="T482" s="236"/>
      <c r="U482" s="236">
        <f t="shared" si="180"/>
        <v>0</v>
      </c>
      <c r="V482" s="236"/>
      <c r="W482" s="232">
        <f t="shared" si="181"/>
        <v>0</v>
      </c>
      <c r="X482" s="236"/>
      <c r="Y482" s="236"/>
      <c r="Z482" s="236"/>
    </row>
    <row r="483" spans="1:26" hidden="1" outlineLevel="2">
      <c r="A483" s="160"/>
      <c r="B483" s="38"/>
      <c r="C483" s="207"/>
      <c r="D483" s="208"/>
      <c r="E483" s="133"/>
      <c r="F483" s="261"/>
      <c r="G483" s="138"/>
      <c r="H483" s="139"/>
      <c r="I483" s="206"/>
      <c r="J483" s="206"/>
      <c r="K483" s="206"/>
      <c r="L483" s="137"/>
      <c r="M483" s="74"/>
      <c r="N483" s="74"/>
      <c r="O483" s="19"/>
      <c r="P483" s="290"/>
      <c r="Q483" s="236">
        <f t="shared" si="178"/>
        <v>0</v>
      </c>
      <c r="R483" s="236">
        <f t="shared" si="179"/>
        <v>0</v>
      </c>
      <c r="S483" s="235"/>
      <c r="T483" s="235"/>
      <c r="U483" s="236">
        <f t="shared" si="180"/>
        <v>0</v>
      </c>
      <c r="V483" s="235"/>
      <c r="W483" s="232">
        <f t="shared" si="181"/>
        <v>0</v>
      </c>
      <c r="X483" s="235"/>
      <c r="Y483" s="235"/>
      <c r="Z483" s="235"/>
    </row>
    <row r="484" spans="1:26" hidden="1" outlineLevel="2">
      <c r="A484" s="160"/>
      <c r="B484" s="38"/>
      <c r="C484" s="207"/>
      <c r="D484" s="208"/>
      <c r="E484" s="133"/>
      <c r="F484" s="261"/>
      <c r="G484" s="138"/>
      <c r="H484" s="139"/>
      <c r="I484" s="206"/>
      <c r="J484" s="206"/>
      <c r="K484" s="206"/>
      <c r="L484" s="137"/>
      <c r="M484" s="74"/>
      <c r="N484" s="19"/>
      <c r="O484" s="19"/>
      <c r="P484" s="290"/>
      <c r="Q484" s="236">
        <f t="shared" si="178"/>
        <v>0</v>
      </c>
      <c r="R484" s="236">
        <f t="shared" si="179"/>
        <v>0</v>
      </c>
      <c r="S484" s="235"/>
      <c r="T484" s="235"/>
      <c r="U484" s="236">
        <f t="shared" si="180"/>
        <v>0</v>
      </c>
      <c r="V484" s="235"/>
      <c r="W484" s="232">
        <f t="shared" si="181"/>
        <v>0</v>
      </c>
      <c r="X484" s="235"/>
      <c r="Y484" s="235"/>
      <c r="Z484" s="235"/>
    </row>
    <row r="485" spans="1:26" hidden="1" outlineLevel="2">
      <c r="A485" s="160"/>
      <c r="B485" s="38"/>
      <c r="C485" s="207"/>
      <c r="D485" s="208"/>
      <c r="E485" s="133"/>
      <c r="F485" s="261"/>
      <c r="G485" s="138"/>
      <c r="H485" s="139"/>
      <c r="I485" s="206"/>
      <c r="J485" s="206"/>
      <c r="K485" s="206"/>
      <c r="L485" s="137"/>
      <c r="M485" s="74"/>
      <c r="N485" s="19"/>
      <c r="O485" s="19"/>
      <c r="P485" s="290"/>
      <c r="Q485" s="236">
        <f t="shared" si="178"/>
        <v>0</v>
      </c>
      <c r="R485" s="236">
        <f>SUM(S485:T485)</f>
        <v>0</v>
      </c>
      <c r="S485" s="235"/>
      <c r="T485" s="235"/>
      <c r="U485" s="236">
        <f t="shared" si="180"/>
        <v>0</v>
      </c>
      <c r="V485" s="235"/>
      <c r="W485" s="232">
        <f t="shared" si="181"/>
        <v>0</v>
      </c>
      <c r="X485" s="235"/>
      <c r="Y485" s="235"/>
      <c r="Z485" s="235"/>
    </row>
    <row r="486" spans="1:26" hidden="1" outlineLevel="2">
      <c r="A486" s="164"/>
      <c r="B486" s="351"/>
      <c r="C486" s="227"/>
      <c r="D486" s="228"/>
      <c r="E486" s="165"/>
      <c r="F486" s="279"/>
      <c r="G486" s="166"/>
      <c r="H486" s="167"/>
      <c r="I486" s="229"/>
      <c r="J486" s="229"/>
      <c r="K486" s="229"/>
      <c r="L486" s="137"/>
      <c r="M486" s="351"/>
      <c r="N486" s="168"/>
      <c r="O486" s="168"/>
      <c r="P486" s="291"/>
      <c r="Q486" s="233"/>
      <c r="R486" s="233"/>
      <c r="S486" s="233"/>
      <c r="T486" s="233"/>
      <c r="U486" s="233"/>
      <c r="V486" s="233"/>
      <c r="W486" s="233"/>
      <c r="X486" s="233"/>
      <c r="Y486" s="233"/>
      <c r="Z486" s="233"/>
    </row>
    <row r="487" spans="1:26" s="75" customFormat="1" outlineLevel="1" collapsed="1">
      <c r="A487" s="237"/>
      <c r="B487" s="238"/>
      <c r="C487" s="239"/>
      <c r="D487" s="240"/>
      <c r="E487" s="241"/>
      <c r="F487" s="264"/>
      <c r="G487" s="242"/>
      <c r="H487" s="243"/>
      <c r="I487" s="244"/>
      <c r="J487" s="244"/>
      <c r="K487" s="244"/>
      <c r="L487" s="150" t="str">
        <f>CONCATENATE(L488," ",N488,M488," ",L489," ",N489,M489," "," ",L490," ",N490,M490," ",L491," ",N491,M491," ",L492," ",N492,M492," ",L493," ",N493,M493," ",L494," ",N494,M494," ",L495," ",N495,M495)</f>
        <v xml:space="preserve">                </v>
      </c>
      <c r="M487" s="243"/>
      <c r="N487" s="243"/>
      <c r="O487" s="287">
        <f>SUM(O488:O495)</f>
        <v>0</v>
      </c>
      <c r="P487" s="289"/>
      <c r="Q487" s="246">
        <f>SUM(Q488:Q495)</f>
        <v>0</v>
      </c>
      <c r="R487" s="246">
        <f t="shared" ref="R487:Y487" si="182">SUM(R488:R495)</f>
        <v>0</v>
      </c>
      <c r="S487" s="246">
        <f t="shared" si="182"/>
        <v>0</v>
      </c>
      <c r="T487" s="246">
        <f t="shared" si="182"/>
        <v>0</v>
      </c>
      <c r="U487" s="246">
        <f t="shared" si="182"/>
        <v>0</v>
      </c>
      <c r="V487" s="246">
        <f t="shared" si="182"/>
        <v>0</v>
      </c>
      <c r="W487" s="246">
        <f t="shared" si="182"/>
        <v>0</v>
      </c>
      <c r="X487" s="246">
        <f t="shared" si="182"/>
        <v>0</v>
      </c>
      <c r="Y487" s="246">
        <f t="shared" si="182"/>
        <v>0</v>
      </c>
      <c r="Z487" s="246">
        <f>SUM(Z488:Z495)</f>
        <v>0</v>
      </c>
    </row>
    <row r="488" spans="1:26" hidden="1" outlineLevel="2">
      <c r="A488" s="19"/>
      <c r="B488" s="38"/>
      <c r="C488" s="207"/>
      <c r="D488" s="208"/>
      <c r="E488" s="133"/>
      <c r="F488" s="261"/>
      <c r="G488" s="138"/>
      <c r="H488" s="135"/>
      <c r="I488" s="206"/>
      <c r="J488" s="206"/>
      <c r="K488" s="206"/>
      <c r="L488" s="137"/>
      <c r="M488" s="163"/>
      <c r="N488" s="163"/>
      <c r="O488" s="288"/>
      <c r="P488" s="290"/>
      <c r="Q488" s="236">
        <f>SUM(R488,U488)</f>
        <v>0</v>
      </c>
      <c r="R488" s="236">
        <f>SUM(S488:T488)</f>
        <v>0</v>
      </c>
      <c r="S488" s="236"/>
      <c r="T488" s="236"/>
      <c r="U488" s="236">
        <f>SUM(V488:Y488)</f>
        <v>0</v>
      </c>
      <c r="V488" s="236"/>
      <c r="W488" s="232">
        <f>V488*0.304</f>
        <v>0</v>
      </c>
      <c r="X488" s="236"/>
      <c r="Y488" s="236"/>
      <c r="Z488" s="236"/>
    </row>
    <row r="489" spans="1:26" hidden="1" outlineLevel="2">
      <c r="A489" s="19"/>
      <c r="B489" s="38"/>
      <c r="C489" s="207"/>
      <c r="D489" s="208"/>
      <c r="E489" s="133"/>
      <c r="F489" s="261"/>
      <c r="G489" s="138"/>
      <c r="H489" s="135"/>
      <c r="I489" s="206"/>
      <c r="J489" s="206"/>
      <c r="K489" s="206"/>
      <c r="L489" s="137"/>
      <c r="M489" s="163"/>
      <c r="N489" s="163"/>
      <c r="O489" s="288"/>
      <c r="P489" s="290"/>
      <c r="Q489" s="236">
        <f t="shared" ref="Q489:Q495" si="183">SUM(R489,U489)</f>
        <v>0</v>
      </c>
      <c r="R489" s="236">
        <f t="shared" ref="R489:R494" si="184">SUM(S489:T489)</f>
        <v>0</v>
      </c>
      <c r="S489" s="236"/>
      <c r="T489" s="236"/>
      <c r="U489" s="236">
        <f t="shared" ref="U489:U495" si="185">SUM(V489:Y489)</f>
        <v>0</v>
      </c>
      <c r="V489" s="236"/>
      <c r="W489" s="232">
        <f t="shared" ref="W489:W495" si="186">V489*0.304</f>
        <v>0</v>
      </c>
      <c r="X489" s="236"/>
      <c r="Y489" s="236"/>
      <c r="Z489" s="236"/>
    </row>
    <row r="490" spans="1:26" hidden="1" outlineLevel="2">
      <c r="A490" s="19"/>
      <c r="B490" s="38"/>
      <c r="C490" s="207"/>
      <c r="D490" s="208"/>
      <c r="E490" s="133"/>
      <c r="F490" s="261"/>
      <c r="G490" s="138"/>
      <c r="H490" s="135"/>
      <c r="I490" s="206"/>
      <c r="J490" s="206"/>
      <c r="K490" s="206"/>
      <c r="L490" s="137"/>
      <c r="M490" s="163"/>
      <c r="N490" s="163"/>
      <c r="O490" s="288"/>
      <c r="P490" s="290"/>
      <c r="Q490" s="236">
        <f t="shared" si="183"/>
        <v>0</v>
      </c>
      <c r="R490" s="236">
        <f t="shared" si="184"/>
        <v>0</v>
      </c>
      <c r="S490" s="236"/>
      <c r="T490" s="236"/>
      <c r="U490" s="236">
        <f t="shared" si="185"/>
        <v>0</v>
      </c>
      <c r="V490" s="236"/>
      <c r="W490" s="232">
        <f t="shared" si="186"/>
        <v>0</v>
      </c>
      <c r="X490" s="236"/>
      <c r="Y490" s="236"/>
      <c r="Z490" s="236"/>
    </row>
    <row r="491" spans="1:26" hidden="1" outlineLevel="2">
      <c r="A491" s="19"/>
      <c r="B491" s="38"/>
      <c r="C491" s="207"/>
      <c r="D491" s="208"/>
      <c r="E491" s="133"/>
      <c r="F491" s="261"/>
      <c r="G491" s="138"/>
      <c r="H491" s="135"/>
      <c r="I491" s="206"/>
      <c r="J491" s="206"/>
      <c r="K491" s="206"/>
      <c r="L491" s="137"/>
      <c r="M491" s="163"/>
      <c r="N491" s="163"/>
      <c r="O491" s="288"/>
      <c r="P491" s="290"/>
      <c r="Q491" s="236">
        <f t="shared" si="183"/>
        <v>0</v>
      </c>
      <c r="R491" s="236">
        <f t="shared" si="184"/>
        <v>0</v>
      </c>
      <c r="S491" s="236"/>
      <c r="T491" s="236"/>
      <c r="U491" s="236">
        <f t="shared" si="185"/>
        <v>0</v>
      </c>
      <c r="V491" s="236"/>
      <c r="W491" s="232">
        <f t="shared" si="186"/>
        <v>0</v>
      </c>
      <c r="X491" s="236"/>
      <c r="Y491" s="236"/>
      <c r="Z491" s="236"/>
    </row>
    <row r="492" spans="1:26" hidden="1" outlineLevel="2">
      <c r="A492" s="19"/>
      <c r="B492" s="38"/>
      <c r="C492" s="207"/>
      <c r="D492" s="208"/>
      <c r="E492" s="133"/>
      <c r="F492" s="261"/>
      <c r="G492" s="138"/>
      <c r="H492" s="135"/>
      <c r="I492" s="206"/>
      <c r="J492" s="206"/>
      <c r="K492" s="206"/>
      <c r="L492" s="137"/>
      <c r="M492" s="163"/>
      <c r="N492" s="163"/>
      <c r="O492" s="288"/>
      <c r="P492" s="290"/>
      <c r="Q492" s="236">
        <f t="shared" si="183"/>
        <v>0</v>
      </c>
      <c r="R492" s="236">
        <f t="shared" si="184"/>
        <v>0</v>
      </c>
      <c r="S492" s="236"/>
      <c r="T492" s="236"/>
      <c r="U492" s="236">
        <f t="shared" si="185"/>
        <v>0</v>
      </c>
      <c r="V492" s="236"/>
      <c r="W492" s="232">
        <f t="shared" si="186"/>
        <v>0</v>
      </c>
      <c r="X492" s="236"/>
      <c r="Y492" s="236"/>
      <c r="Z492" s="236"/>
    </row>
    <row r="493" spans="1:26" hidden="1" outlineLevel="2">
      <c r="A493" s="160"/>
      <c r="B493" s="38"/>
      <c r="C493" s="207"/>
      <c r="D493" s="208"/>
      <c r="E493" s="133"/>
      <c r="F493" s="261"/>
      <c r="G493" s="138"/>
      <c r="H493" s="139"/>
      <c r="I493" s="206"/>
      <c r="J493" s="206"/>
      <c r="K493" s="206"/>
      <c r="L493" s="137"/>
      <c r="M493" s="74"/>
      <c r="N493" s="74"/>
      <c r="O493" s="19"/>
      <c r="P493" s="290"/>
      <c r="Q493" s="236">
        <f t="shared" si="183"/>
        <v>0</v>
      </c>
      <c r="R493" s="236">
        <f t="shared" si="184"/>
        <v>0</v>
      </c>
      <c r="S493" s="235"/>
      <c r="T493" s="235"/>
      <c r="U493" s="236">
        <f t="shared" si="185"/>
        <v>0</v>
      </c>
      <c r="V493" s="235"/>
      <c r="W493" s="232">
        <f t="shared" si="186"/>
        <v>0</v>
      </c>
      <c r="X493" s="235"/>
      <c r="Y493" s="235"/>
      <c r="Z493" s="235"/>
    </row>
    <row r="494" spans="1:26" hidden="1" outlineLevel="2">
      <c r="A494" s="160"/>
      <c r="B494" s="38"/>
      <c r="C494" s="207"/>
      <c r="D494" s="208"/>
      <c r="E494" s="133"/>
      <c r="F494" s="261"/>
      <c r="G494" s="138"/>
      <c r="H494" s="139"/>
      <c r="I494" s="206"/>
      <c r="J494" s="206"/>
      <c r="K494" s="206"/>
      <c r="L494" s="137"/>
      <c r="M494" s="74"/>
      <c r="N494" s="19"/>
      <c r="O494" s="19"/>
      <c r="P494" s="290"/>
      <c r="Q494" s="236">
        <f t="shared" si="183"/>
        <v>0</v>
      </c>
      <c r="R494" s="236">
        <f t="shared" si="184"/>
        <v>0</v>
      </c>
      <c r="S494" s="235"/>
      <c r="T494" s="235"/>
      <c r="U494" s="236">
        <f t="shared" si="185"/>
        <v>0</v>
      </c>
      <c r="V494" s="235"/>
      <c r="W494" s="232">
        <f t="shared" si="186"/>
        <v>0</v>
      </c>
      <c r="X494" s="235"/>
      <c r="Y494" s="235"/>
      <c r="Z494" s="235"/>
    </row>
    <row r="495" spans="1:26" hidden="1" outlineLevel="2">
      <c r="A495" s="160"/>
      <c r="B495" s="38"/>
      <c r="C495" s="207"/>
      <c r="D495" s="208"/>
      <c r="E495" s="133"/>
      <c r="F495" s="261"/>
      <c r="G495" s="138"/>
      <c r="H495" s="139"/>
      <c r="I495" s="206"/>
      <c r="J495" s="206"/>
      <c r="K495" s="206"/>
      <c r="L495" s="137"/>
      <c r="M495" s="74"/>
      <c r="N495" s="19"/>
      <c r="O495" s="19"/>
      <c r="P495" s="290"/>
      <c r="Q495" s="236">
        <f t="shared" si="183"/>
        <v>0</v>
      </c>
      <c r="R495" s="236">
        <f>SUM(S495:T495)</f>
        <v>0</v>
      </c>
      <c r="S495" s="235"/>
      <c r="T495" s="235"/>
      <c r="U495" s="236">
        <f t="shared" si="185"/>
        <v>0</v>
      </c>
      <c r="V495" s="235"/>
      <c r="W495" s="232">
        <f t="shared" si="186"/>
        <v>0</v>
      </c>
      <c r="X495" s="235"/>
      <c r="Y495" s="235"/>
      <c r="Z495" s="235"/>
    </row>
    <row r="496" spans="1:26" hidden="1" outlineLevel="2">
      <c r="A496" s="164"/>
      <c r="B496" s="351"/>
      <c r="C496" s="227"/>
      <c r="D496" s="228"/>
      <c r="E496" s="165"/>
      <c r="F496" s="279"/>
      <c r="G496" s="166"/>
      <c r="H496" s="167"/>
      <c r="I496" s="229"/>
      <c r="J496" s="229"/>
      <c r="K496" s="229"/>
      <c r="L496" s="137"/>
      <c r="M496" s="351"/>
      <c r="N496" s="168"/>
      <c r="O496" s="168"/>
      <c r="P496" s="291"/>
      <c r="Q496" s="233"/>
      <c r="R496" s="233"/>
      <c r="S496" s="233"/>
      <c r="T496" s="233"/>
      <c r="U496" s="233"/>
      <c r="V496" s="233"/>
      <c r="W496" s="233"/>
      <c r="X496" s="233"/>
      <c r="Y496" s="233"/>
      <c r="Z496" s="233"/>
    </row>
    <row r="497" spans="1:26" s="75" customFormat="1" outlineLevel="1" collapsed="1">
      <c r="A497" s="237"/>
      <c r="B497" s="238"/>
      <c r="C497" s="239"/>
      <c r="D497" s="240"/>
      <c r="E497" s="241"/>
      <c r="F497" s="264"/>
      <c r="G497" s="242"/>
      <c r="H497" s="243"/>
      <c r="I497" s="244"/>
      <c r="J497" s="244"/>
      <c r="K497" s="244"/>
      <c r="L497" s="150" t="str">
        <f>CONCATENATE(L498," ",N498,M498," ",L499," ",N499,M499," "," ",L500," ",N500,M500," ",L501," ",N501,M501," ",L502," ",N502,M502," ",L503," ",N503,M503," ",L504," ",N504,M504," ",L505," ",N505,M505)</f>
        <v xml:space="preserve">                </v>
      </c>
      <c r="M497" s="243"/>
      <c r="N497" s="243"/>
      <c r="O497" s="287">
        <f>SUM(O498:O505)</f>
        <v>0</v>
      </c>
      <c r="P497" s="289"/>
      <c r="Q497" s="246">
        <f>SUM(Q498:Q505)</f>
        <v>0</v>
      </c>
      <c r="R497" s="246">
        <f t="shared" ref="R497:Y497" si="187">SUM(R498:R505)</f>
        <v>0</v>
      </c>
      <c r="S497" s="246">
        <f t="shared" si="187"/>
        <v>0</v>
      </c>
      <c r="T497" s="246">
        <f t="shared" si="187"/>
        <v>0</v>
      </c>
      <c r="U497" s="246">
        <f t="shared" si="187"/>
        <v>0</v>
      </c>
      <c r="V497" s="246">
        <f t="shared" si="187"/>
        <v>0</v>
      </c>
      <c r="W497" s="246">
        <f t="shared" si="187"/>
        <v>0</v>
      </c>
      <c r="X497" s="246">
        <f t="shared" si="187"/>
        <v>0</v>
      </c>
      <c r="Y497" s="246">
        <f t="shared" si="187"/>
        <v>0</v>
      </c>
      <c r="Z497" s="246">
        <f>SUM(Z498:Z505)</f>
        <v>0</v>
      </c>
    </row>
    <row r="498" spans="1:26" hidden="1" outlineLevel="2">
      <c r="A498" s="19"/>
      <c r="B498" s="38"/>
      <c r="C498" s="207"/>
      <c r="D498" s="208"/>
      <c r="E498" s="133"/>
      <c r="F498" s="261"/>
      <c r="G498" s="138"/>
      <c r="H498" s="135"/>
      <c r="I498" s="206"/>
      <c r="J498" s="206"/>
      <c r="K498" s="206"/>
      <c r="L498" s="137"/>
      <c r="M498" s="163"/>
      <c r="N498" s="163"/>
      <c r="O498" s="288"/>
      <c r="P498" s="290"/>
      <c r="Q498" s="236">
        <f>SUM(R498,U498)</f>
        <v>0</v>
      </c>
      <c r="R498" s="236">
        <f>SUM(S498:T498)</f>
        <v>0</v>
      </c>
      <c r="S498" s="236"/>
      <c r="T498" s="236"/>
      <c r="U498" s="236">
        <f>SUM(V498:Y498)</f>
        <v>0</v>
      </c>
      <c r="V498" s="236"/>
      <c r="W498" s="232">
        <f>V498*0.304</f>
        <v>0</v>
      </c>
      <c r="X498" s="236"/>
      <c r="Y498" s="236"/>
      <c r="Z498" s="236"/>
    </row>
    <row r="499" spans="1:26" hidden="1" outlineLevel="2">
      <c r="A499" s="19"/>
      <c r="B499" s="38"/>
      <c r="C499" s="207"/>
      <c r="D499" s="208"/>
      <c r="E499" s="133"/>
      <c r="F499" s="261"/>
      <c r="G499" s="138"/>
      <c r="H499" s="135"/>
      <c r="I499" s="206"/>
      <c r="J499" s="206"/>
      <c r="K499" s="206"/>
      <c r="L499" s="137"/>
      <c r="M499" s="163"/>
      <c r="N499" s="163"/>
      <c r="O499" s="288"/>
      <c r="P499" s="290"/>
      <c r="Q499" s="236">
        <f t="shared" ref="Q499:Q505" si="188">SUM(R499,U499)</f>
        <v>0</v>
      </c>
      <c r="R499" s="236">
        <f t="shared" ref="R499:R504" si="189">SUM(S499:T499)</f>
        <v>0</v>
      </c>
      <c r="S499" s="236"/>
      <c r="T499" s="236"/>
      <c r="U499" s="236">
        <f t="shared" ref="U499:U505" si="190">SUM(V499:Y499)</f>
        <v>0</v>
      </c>
      <c r="V499" s="236"/>
      <c r="W499" s="232">
        <f t="shared" ref="W499:W505" si="191">V499*0.304</f>
        <v>0</v>
      </c>
      <c r="X499" s="236"/>
      <c r="Y499" s="236"/>
      <c r="Z499" s="236"/>
    </row>
    <row r="500" spans="1:26" hidden="1" outlineLevel="2">
      <c r="A500" s="19"/>
      <c r="B500" s="38"/>
      <c r="C500" s="207"/>
      <c r="D500" s="208"/>
      <c r="E500" s="133"/>
      <c r="F500" s="261"/>
      <c r="G500" s="138"/>
      <c r="H500" s="135"/>
      <c r="I500" s="206"/>
      <c r="J500" s="206"/>
      <c r="K500" s="206"/>
      <c r="L500" s="137"/>
      <c r="M500" s="163"/>
      <c r="N500" s="163"/>
      <c r="O500" s="288"/>
      <c r="P500" s="290"/>
      <c r="Q500" s="236">
        <f t="shared" si="188"/>
        <v>0</v>
      </c>
      <c r="R500" s="236">
        <f t="shared" si="189"/>
        <v>0</v>
      </c>
      <c r="S500" s="236"/>
      <c r="T500" s="236"/>
      <c r="U500" s="236">
        <f t="shared" si="190"/>
        <v>0</v>
      </c>
      <c r="V500" s="236"/>
      <c r="W500" s="232">
        <f t="shared" si="191"/>
        <v>0</v>
      </c>
      <c r="X500" s="236"/>
      <c r="Y500" s="236"/>
      <c r="Z500" s="236"/>
    </row>
    <row r="501" spans="1:26" hidden="1" outlineLevel="2">
      <c r="A501" s="19"/>
      <c r="B501" s="38"/>
      <c r="C501" s="207"/>
      <c r="D501" s="208"/>
      <c r="E501" s="133"/>
      <c r="F501" s="261"/>
      <c r="G501" s="138"/>
      <c r="H501" s="135"/>
      <c r="I501" s="206"/>
      <c r="J501" s="206"/>
      <c r="K501" s="206"/>
      <c r="L501" s="137"/>
      <c r="M501" s="163"/>
      <c r="N501" s="163"/>
      <c r="O501" s="288"/>
      <c r="P501" s="290"/>
      <c r="Q501" s="236">
        <f t="shared" si="188"/>
        <v>0</v>
      </c>
      <c r="R501" s="236">
        <f t="shared" si="189"/>
        <v>0</v>
      </c>
      <c r="S501" s="236"/>
      <c r="T501" s="236"/>
      <c r="U501" s="236">
        <f t="shared" si="190"/>
        <v>0</v>
      </c>
      <c r="V501" s="236"/>
      <c r="W501" s="232">
        <f t="shared" si="191"/>
        <v>0</v>
      </c>
      <c r="X501" s="236"/>
      <c r="Y501" s="236"/>
      <c r="Z501" s="236"/>
    </row>
    <row r="502" spans="1:26" hidden="1" outlineLevel="2">
      <c r="A502" s="19"/>
      <c r="B502" s="38"/>
      <c r="C502" s="207"/>
      <c r="D502" s="208"/>
      <c r="E502" s="133"/>
      <c r="F502" s="261"/>
      <c r="G502" s="138"/>
      <c r="H502" s="135"/>
      <c r="I502" s="206"/>
      <c r="J502" s="206"/>
      <c r="K502" s="206"/>
      <c r="L502" s="137"/>
      <c r="M502" s="163"/>
      <c r="N502" s="163"/>
      <c r="O502" s="288"/>
      <c r="P502" s="290"/>
      <c r="Q502" s="236">
        <f t="shared" si="188"/>
        <v>0</v>
      </c>
      <c r="R502" s="236">
        <f t="shared" si="189"/>
        <v>0</v>
      </c>
      <c r="S502" s="236"/>
      <c r="T502" s="236"/>
      <c r="U502" s="236">
        <f t="shared" si="190"/>
        <v>0</v>
      </c>
      <c r="V502" s="236"/>
      <c r="W502" s="232">
        <f t="shared" si="191"/>
        <v>0</v>
      </c>
      <c r="X502" s="236"/>
      <c r="Y502" s="236"/>
      <c r="Z502" s="236"/>
    </row>
    <row r="503" spans="1:26" hidden="1" outlineLevel="2">
      <c r="A503" s="160"/>
      <c r="B503" s="38"/>
      <c r="C503" s="207"/>
      <c r="D503" s="208"/>
      <c r="E503" s="133"/>
      <c r="F503" s="261"/>
      <c r="G503" s="138"/>
      <c r="H503" s="139"/>
      <c r="I503" s="206"/>
      <c r="J503" s="206"/>
      <c r="K503" s="206"/>
      <c r="L503" s="137"/>
      <c r="M503" s="74"/>
      <c r="N503" s="74"/>
      <c r="O503" s="19"/>
      <c r="P503" s="290"/>
      <c r="Q503" s="236">
        <f t="shared" si="188"/>
        <v>0</v>
      </c>
      <c r="R503" s="236">
        <f t="shared" si="189"/>
        <v>0</v>
      </c>
      <c r="S503" s="235"/>
      <c r="T503" s="235"/>
      <c r="U503" s="236">
        <f t="shared" si="190"/>
        <v>0</v>
      </c>
      <c r="V503" s="235"/>
      <c r="W503" s="232">
        <f t="shared" si="191"/>
        <v>0</v>
      </c>
      <c r="X503" s="235"/>
      <c r="Y503" s="235"/>
      <c r="Z503" s="235"/>
    </row>
    <row r="504" spans="1:26" hidden="1" outlineLevel="2">
      <c r="A504" s="160"/>
      <c r="B504" s="38"/>
      <c r="C504" s="207"/>
      <c r="D504" s="208"/>
      <c r="E504" s="133"/>
      <c r="F504" s="261"/>
      <c r="G504" s="138"/>
      <c r="H504" s="139"/>
      <c r="I504" s="206"/>
      <c r="J504" s="206"/>
      <c r="K504" s="206"/>
      <c r="L504" s="137"/>
      <c r="M504" s="74"/>
      <c r="N504" s="19"/>
      <c r="O504" s="19"/>
      <c r="P504" s="290"/>
      <c r="Q504" s="236">
        <f t="shared" si="188"/>
        <v>0</v>
      </c>
      <c r="R504" s="236">
        <f t="shared" si="189"/>
        <v>0</v>
      </c>
      <c r="S504" s="235"/>
      <c r="T504" s="235"/>
      <c r="U504" s="236">
        <f t="shared" si="190"/>
        <v>0</v>
      </c>
      <c r="V504" s="235"/>
      <c r="W504" s="232">
        <f t="shared" si="191"/>
        <v>0</v>
      </c>
      <c r="X504" s="235"/>
      <c r="Y504" s="235"/>
      <c r="Z504" s="235"/>
    </row>
    <row r="505" spans="1:26" hidden="1" outlineLevel="2">
      <c r="A505" s="160"/>
      <c r="B505" s="38"/>
      <c r="C505" s="207"/>
      <c r="D505" s="208"/>
      <c r="E505" s="133"/>
      <c r="F505" s="261"/>
      <c r="G505" s="138"/>
      <c r="H505" s="139"/>
      <c r="I505" s="206"/>
      <c r="J505" s="206"/>
      <c r="K505" s="206"/>
      <c r="L505" s="137"/>
      <c r="M505" s="74"/>
      <c r="N505" s="19"/>
      <c r="O505" s="19"/>
      <c r="P505" s="290"/>
      <c r="Q505" s="236">
        <f t="shared" si="188"/>
        <v>0</v>
      </c>
      <c r="R505" s="236">
        <f>SUM(S505:T505)</f>
        <v>0</v>
      </c>
      <c r="S505" s="235"/>
      <c r="T505" s="235"/>
      <c r="U505" s="236">
        <f t="shared" si="190"/>
        <v>0</v>
      </c>
      <c r="V505" s="235"/>
      <c r="W505" s="232">
        <f t="shared" si="191"/>
        <v>0</v>
      </c>
      <c r="X505" s="235"/>
      <c r="Y505" s="235"/>
      <c r="Z505" s="235"/>
    </row>
    <row r="506" spans="1:26" hidden="1" outlineLevel="2">
      <c r="A506" s="164"/>
      <c r="B506" s="351"/>
      <c r="C506" s="227"/>
      <c r="D506" s="228"/>
      <c r="E506" s="165"/>
      <c r="F506" s="279"/>
      <c r="G506" s="166"/>
      <c r="H506" s="167"/>
      <c r="I506" s="229"/>
      <c r="J506" s="229"/>
      <c r="K506" s="229"/>
      <c r="L506" s="137"/>
      <c r="M506" s="351"/>
      <c r="N506" s="168"/>
      <c r="O506" s="168"/>
      <c r="P506" s="291"/>
      <c r="Q506" s="233"/>
      <c r="R506" s="233"/>
      <c r="S506" s="233"/>
      <c r="T506" s="233"/>
      <c r="U506" s="233"/>
      <c r="V506" s="233"/>
      <c r="W506" s="233"/>
      <c r="X506" s="233"/>
      <c r="Y506" s="233"/>
      <c r="Z506" s="233"/>
    </row>
    <row r="507" spans="1:26" s="75" customFormat="1" outlineLevel="1" collapsed="1">
      <c r="A507" s="237"/>
      <c r="B507" s="238"/>
      <c r="C507" s="239"/>
      <c r="D507" s="240"/>
      <c r="E507" s="241"/>
      <c r="F507" s="264"/>
      <c r="G507" s="242"/>
      <c r="H507" s="243"/>
      <c r="I507" s="244"/>
      <c r="J507" s="244"/>
      <c r="K507" s="244"/>
      <c r="L507" s="150" t="str">
        <f>CONCATENATE(L508," ",N508,M508," ",L509," ",N509,M509," "," ",L510," ",N510,M510," ",L511," ",N511,M511," ",L512," ",N512,M512," ",L513," ",N513,M513," ",L514," ",N514,M514," ",L515," ",N515,M515)</f>
        <v xml:space="preserve">                </v>
      </c>
      <c r="M507" s="243"/>
      <c r="N507" s="243"/>
      <c r="O507" s="287">
        <f>SUM(O508:O515)</f>
        <v>0</v>
      </c>
      <c r="P507" s="289"/>
      <c r="Q507" s="246">
        <f>SUM(Q508:Q515)</f>
        <v>0</v>
      </c>
      <c r="R507" s="246">
        <f t="shared" ref="R507:Y507" si="192">SUM(R508:R515)</f>
        <v>0</v>
      </c>
      <c r="S507" s="246">
        <f t="shared" si="192"/>
        <v>0</v>
      </c>
      <c r="T507" s="246">
        <f t="shared" si="192"/>
        <v>0</v>
      </c>
      <c r="U507" s="246">
        <f t="shared" si="192"/>
        <v>0</v>
      </c>
      <c r="V507" s="246">
        <f t="shared" si="192"/>
        <v>0</v>
      </c>
      <c r="W507" s="246">
        <f t="shared" si="192"/>
        <v>0</v>
      </c>
      <c r="X507" s="246">
        <f t="shared" si="192"/>
        <v>0</v>
      </c>
      <c r="Y507" s="246">
        <f t="shared" si="192"/>
        <v>0</v>
      </c>
      <c r="Z507" s="246">
        <f>SUM(Z508:Z515)</f>
        <v>0</v>
      </c>
    </row>
    <row r="508" spans="1:26" hidden="1" outlineLevel="2">
      <c r="A508" s="19"/>
      <c r="B508" s="38"/>
      <c r="C508" s="207"/>
      <c r="D508" s="208"/>
      <c r="E508" s="133"/>
      <c r="F508" s="261"/>
      <c r="G508" s="138"/>
      <c r="H508" s="135"/>
      <c r="I508" s="206"/>
      <c r="J508" s="206"/>
      <c r="K508" s="206"/>
      <c r="L508" s="137"/>
      <c r="M508" s="163"/>
      <c r="N508" s="163"/>
      <c r="O508" s="163"/>
      <c r="P508" s="205"/>
      <c r="Q508" s="236">
        <f>SUM(R508,U508)</f>
        <v>0</v>
      </c>
      <c r="R508" s="236">
        <f>SUM(S508:T508)</f>
        <v>0</v>
      </c>
      <c r="S508" s="236"/>
      <c r="T508" s="236"/>
      <c r="U508" s="236">
        <f>SUM(V508:Y508)</f>
        <v>0</v>
      </c>
      <c r="V508" s="236"/>
      <c r="W508" s="232">
        <f>V508*0.304</f>
        <v>0</v>
      </c>
      <c r="X508" s="236"/>
      <c r="Y508" s="236"/>
      <c r="Z508" s="236"/>
    </row>
    <row r="509" spans="1:26" hidden="1" outlineLevel="2">
      <c r="A509" s="19"/>
      <c r="B509" s="38"/>
      <c r="C509" s="207"/>
      <c r="D509" s="208"/>
      <c r="E509" s="133"/>
      <c r="F509" s="261"/>
      <c r="G509" s="138"/>
      <c r="H509" s="135"/>
      <c r="I509" s="206"/>
      <c r="J509" s="206"/>
      <c r="K509" s="206"/>
      <c r="L509" s="137"/>
      <c r="M509" s="163"/>
      <c r="N509" s="163"/>
      <c r="O509" s="163"/>
      <c r="P509" s="205"/>
      <c r="Q509" s="236">
        <f t="shared" ref="Q509:Q515" si="193">SUM(R509,U509)</f>
        <v>0</v>
      </c>
      <c r="R509" s="236">
        <f t="shared" ref="R509:R514" si="194">SUM(S509:T509)</f>
        <v>0</v>
      </c>
      <c r="S509" s="236"/>
      <c r="T509" s="236"/>
      <c r="U509" s="236">
        <f t="shared" ref="U509:U515" si="195">SUM(V509:Y509)</f>
        <v>0</v>
      </c>
      <c r="V509" s="236"/>
      <c r="W509" s="232">
        <f t="shared" ref="W509:W515" si="196">V509*0.304</f>
        <v>0</v>
      </c>
      <c r="X509" s="236"/>
      <c r="Y509" s="236"/>
      <c r="Z509" s="236"/>
    </row>
    <row r="510" spans="1:26" hidden="1" outlineLevel="2">
      <c r="A510" s="19"/>
      <c r="B510" s="38"/>
      <c r="C510" s="207"/>
      <c r="D510" s="208"/>
      <c r="E510" s="133"/>
      <c r="F510" s="261"/>
      <c r="G510" s="138"/>
      <c r="H510" s="135"/>
      <c r="I510" s="206"/>
      <c r="J510" s="206"/>
      <c r="K510" s="206"/>
      <c r="L510" s="137"/>
      <c r="M510" s="163"/>
      <c r="N510" s="163"/>
      <c r="O510" s="163"/>
      <c r="P510" s="205"/>
      <c r="Q510" s="236">
        <f t="shared" si="193"/>
        <v>0</v>
      </c>
      <c r="R510" s="236">
        <f t="shared" si="194"/>
        <v>0</v>
      </c>
      <c r="S510" s="236"/>
      <c r="T510" s="236"/>
      <c r="U510" s="236">
        <f t="shared" si="195"/>
        <v>0</v>
      </c>
      <c r="V510" s="236"/>
      <c r="W510" s="232">
        <f t="shared" si="196"/>
        <v>0</v>
      </c>
      <c r="X510" s="236"/>
      <c r="Y510" s="236"/>
      <c r="Z510" s="236"/>
    </row>
    <row r="511" spans="1:26" hidden="1" outlineLevel="2">
      <c r="A511" s="19"/>
      <c r="B511" s="38"/>
      <c r="C511" s="207"/>
      <c r="D511" s="208"/>
      <c r="E511" s="133"/>
      <c r="F511" s="261"/>
      <c r="G511" s="138"/>
      <c r="H511" s="135"/>
      <c r="I511" s="206"/>
      <c r="J511" s="206"/>
      <c r="K511" s="206"/>
      <c r="L511" s="137"/>
      <c r="M511" s="163"/>
      <c r="N511" s="163"/>
      <c r="O511" s="163"/>
      <c r="P511" s="205"/>
      <c r="Q511" s="236">
        <f t="shared" si="193"/>
        <v>0</v>
      </c>
      <c r="R511" s="236">
        <f t="shared" si="194"/>
        <v>0</v>
      </c>
      <c r="S511" s="236"/>
      <c r="T511" s="236"/>
      <c r="U511" s="236">
        <f t="shared" si="195"/>
        <v>0</v>
      </c>
      <c r="V511" s="236"/>
      <c r="W511" s="232">
        <f t="shared" si="196"/>
        <v>0</v>
      </c>
      <c r="X511" s="236"/>
      <c r="Y511" s="236"/>
      <c r="Z511" s="236"/>
    </row>
    <row r="512" spans="1:26" hidden="1" outlineLevel="2">
      <c r="A512" s="19"/>
      <c r="B512" s="38"/>
      <c r="C512" s="207"/>
      <c r="D512" s="208"/>
      <c r="E512" s="133"/>
      <c r="F512" s="261"/>
      <c r="G512" s="138"/>
      <c r="H512" s="135"/>
      <c r="I512" s="206"/>
      <c r="J512" s="206"/>
      <c r="K512" s="206"/>
      <c r="L512" s="137"/>
      <c r="M512" s="163"/>
      <c r="N512" s="163"/>
      <c r="O512" s="163"/>
      <c r="P512" s="205"/>
      <c r="Q512" s="236">
        <f t="shared" si="193"/>
        <v>0</v>
      </c>
      <c r="R512" s="236">
        <f t="shared" si="194"/>
        <v>0</v>
      </c>
      <c r="S512" s="236"/>
      <c r="T512" s="236"/>
      <c r="U512" s="236">
        <f t="shared" si="195"/>
        <v>0</v>
      </c>
      <c r="V512" s="236"/>
      <c r="W512" s="232">
        <f t="shared" si="196"/>
        <v>0</v>
      </c>
      <c r="X512" s="236"/>
      <c r="Y512" s="236"/>
      <c r="Z512" s="236"/>
    </row>
    <row r="513" spans="1:26" hidden="1" outlineLevel="2">
      <c r="A513" s="160"/>
      <c r="B513" s="38"/>
      <c r="C513" s="207"/>
      <c r="D513" s="208"/>
      <c r="E513" s="133"/>
      <c r="F513" s="261"/>
      <c r="G513" s="138"/>
      <c r="H513" s="139"/>
      <c r="I513" s="206"/>
      <c r="J513" s="206"/>
      <c r="K513" s="206"/>
      <c r="L513" s="137"/>
      <c r="M513" s="74"/>
      <c r="N513" s="74"/>
      <c r="O513" s="234"/>
      <c r="P513" s="205"/>
      <c r="Q513" s="236">
        <f t="shared" si="193"/>
        <v>0</v>
      </c>
      <c r="R513" s="236">
        <f t="shared" si="194"/>
        <v>0</v>
      </c>
      <c r="S513" s="235"/>
      <c r="T513" s="235"/>
      <c r="U513" s="236">
        <f t="shared" si="195"/>
        <v>0</v>
      </c>
      <c r="V513" s="235"/>
      <c r="W513" s="232">
        <f t="shared" si="196"/>
        <v>0</v>
      </c>
      <c r="X513" s="235"/>
      <c r="Y513" s="235"/>
      <c r="Z513" s="235"/>
    </row>
    <row r="514" spans="1:26" hidden="1" outlineLevel="2">
      <c r="A514" s="160"/>
      <c r="B514" s="38"/>
      <c r="C514" s="207"/>
      <c r="D514" s="208"/>
      <c r="E514" s="133"/>
      <c r="F514" s="261"/>
      <c r="G514" s="138"/>
      <c r="H514" s="139"/>
      <c r="I514" s="206"/>
      <c r="J514" s="206"/>
      <c r="K514" s="206"/>
      <c r="L514" s="137"/>
      <c r="M514" s="74"/>
      <c r="N514" s="19"/>
      <c r="O514" s="234"/>
      <c r="P514" s="205"/>
      <c r="Q514" s="236">
        <f t="shared" si="193"/>
        <v>0</v>
      </c>
      <c r="R514" s="236">
        <f t="shared" si="194"/>
        <v>0</v>
      </c>
      <c r="S514" s="235"/>
      <c r="T514" s="235"/>
      <c r="U514" s="236">
        <f t="shared" si="195"/>
        <v>0</v>
      </c>
      <c r="V514" s="235"/>
      <c r="W514" s="232">
        <f t="shared" si="196"/>
        <v>0</v>
      </c>
      <c r="X514" s="235"/>
      <c r="Y514" s="235"/>
      <c r="Z514" s="235"/>
    </row>
    <row r="515" spans="1:26" hidden="1" outlineLevel="2">
      <c r="A515" s="160"/>
      <c r="B515" s="38"/>
      <c r="C515" s="207"/>
      <c r="D515" s="208"/>
      <c r="E515" s="133"/>
      <c r="F515" s="261"/>
      <c r="G515" s="138"/>
      <c r="H515" s="139"/>
      <c r="I515" s="206"/>
      <c r="J515" s="206"/>
      <c r="K515" s="206"/>
      <c r="L515" s="137"/>
      <c r="M515" s="74"/>
      <c r="N515" s="19"/>
      <c r="O515" s="234"/>
      <c r="P515" s="205"/>
      <c r="Q515" s="236">
        <f t="shared" si="193"/>
        <v>0</v>
      </c>
      <c r="R515" s="236">
        <f>SUM(S515:T515)</f>
        <v>0</v>
      </c>
      <c r="S515" s="235"/>
      <c r="T515" s="235"/>
      <c r="U515" s="236">
        <f t="shared" si="195"/>
        <v>0</v>
      </c>
      <c r="V515" s="235"/>
      <c r="W515" s="232">
        <f t="shared" si="196"/>
        <v>0</v>
      </c>
      <c r="X515" s="235"/>
      <c r="Y515" s="235"/>
      <c r="Z515" s="235"/>
    </row>
    <row r="516" spans="1:26" hidden="1" outlineLevel="2">
      <c r="A516" s="160"/>
      <c r="B516" s="74"/>
      <c r="C516" s="207"/>
      <c r="D516" s="208"/>
      <c r="E516" s="133"/>
      <c r="F516" s="261"/>
      <c r="G516" s="138"/>
      <c r="H516" s="139"/>
      <c r="I516" s="206"/>
      <c r="J516" s="206"/>
      <c r="K516" s="206"/>
      <c r="L516" s="137"/>
      <c r="M516" s="74"/>
      <c r="N516" s="19"/>
      <c r="O516" s="234"/>
      <c r="P516" s="205"/>
      <c r="Q516" s="235"/>
      <c r="R516" s="235"/>
      <c r="S516" s="235"/>
      <c r="T516" s="235"/>
      <c r="U516" s="235"/>
      <c r="V516" s="235"/>
      <c r="W516" s="235"/>
      <c r="X516" s="235"/>
      <c r="Y516" s="235"/>
      <c r="Z516" s="235"/>
    </row>
    <row r="517" spans="1:26" ht="15.75" outlineLevel="1" thickBot="1">
      <c r="A517" s="296"/>
      <c r="B517" s="297"/>
      <c r="C517" s="298"/>
      <c r="D517" s="299"/>
      <c r="E517" s="300"/>
      <c r="F517" s="301"/>
      <c r="G517" s="302"/>
      <c r="H517" s="303"/>
      <c r="I517" s="304"/>
      <c r="J517" s="304"/>
      <c r="K517" s="304"/>
      <c r="L517" s="305"/>
      <c r="M517" s="297"/>
      <c r="N517" s="306"/>
      <c r="O517" s="307"/>
      <c r="P517" s="308"/>
      <c r="Q517" s="309"/>
      <c r="R517" s="309"/>
      <c r="S517" s="309"/>
      <c r="T517" s="309"/>
      <c r="U517" s="309"/>
      <c r="V517" s="309"/>
      <c r="W517" s="309"/>
      <c r="X517" s="309"/>
      <c r="Y517" s="309"/>
      <c r="Z517" s="309"/>
    </row>
    <row r="518" spans="1:26" ht="19.5" thickBot="1">
      <c r="A518" s="639" t="s">
        <v>295</v>
      </c>
      <c r="B518" s="640"/>
      <c r="C518" s="640"/>
      <c r="D518" s="641"/>
      <c r="E518" s="56" t="s">
        <v>76</v>
      </c>
      <c r="F518" s="278"/>
      <c r="G518" s="57"/>
      <c r="H518" s="58"/>
      <c r="I518" s="68"/>
      <c r="J518" s="68"/>
      <c r="K518" s="68"/>
      <c r="L518" s="59"/>
      <c r="M518" s="58"/>
      <c r="N518" s="58"/>
      <c r="O518" s="63">
        <v>0</v>
      </c>
      <c r="P518" s="63"/>
      <c r="Q518" s="63">
        <v>0</v>
      </c>
      <c r="R518" s="63">
        <v>0</v>
      </c>
      <c r="S518" s="63">
        <v>0</v>
      </c>
      <c r="T518" s="63">
        <v>0</v>
      </c>
      <c r="U518" s="63">
        <v>0</v>
      </c>
      <c r="V518" s="63">
        <v>0</v>
      </c>
      <c r="W518" s="63">
        <v>0</v>
      </c>
      <c r="X518" s="63">
        <v>0</v>
      </c>
      <c r="Y518" s="63">
        <v>0</v>
      </c>
      <c r="Z518" s="257">
        <v>0</v>
      </c>
    </row>
    <row r="519" spans="1:26" s="75" customFormat="1" outlineLevel="1" collapsed="1">
      <c r="A519" s="247"/>
      <c r="B519" s="248"/>
      <c r="C519" s="249"/>
      <c r="D519" s="250"/>
      <c r="E519" s="251"/>
      <c r="F519" s="263"/>
      <c r="G519" s="252"/>
      <c r="H519" s="253"/>
      <c r="I519" s="254"/>
      <c r="J519" s="254"/>
      <c r="K519" s="254"/>
      <c r="L519" s="149" t="str">
        <f>CONCATENATE(L520," ",N520,M520," ",L521," ",N521,M521," "," ",L522," ",N522,M522," ",L523," ",N523,M523," ",L524," ",N524,M524," ",L525," ",N525,M525," ",L526," ",N526,M526," ",L527," ",N527,M527)</f>
        <v xml:space="preserve">                </v>
      </c>
      <c r="M519" s="253"/>
      <c r="N519" s="253"/>
      <c r="O519" s="294">
        <f>SUM(O520:O527)</f>
        <v>0</v>
      </c>
      <c r="P519" s="255"/>
      <c r="Q519" s="256">
        <f>SUM(Q520:Q527)</f>
        <v>0</v>
      </c>
      <c r="R519" s="256">
        <f t="shared" ref="R519:Y519" si="197">SUM(R520:R527)</f>
        <v>0</v>
      </c>
      <c r="S519" s="256">
        <f t="shared" si="197"/>
        <v>0</v>
      </c>
      <c r="T519" s="256">
        <f t="shared" si="197"/>
        <v>0</v>
      </c>
      <c r="U519" s="256">
        <f t="shared" si="197"/>
        <v>0</v>
      </c>
      <c r="V519" s="256">
        <f t="shared" si="197"/>
        <v>0</v>
      </c>
      <c r="W519" s="256">
        <f t="shared" si="197"/>
        <v>0</v>
      </c>
      <c r="X519" s="256">
        <f t="shared" si="197"/>
        <v>0</v>
      </c>
      <c r="Y519" s="256">
        <f t="shared" si="197"/>
        <v>0</v>
      </c>
      <c r="Z519" s="256">
        <f>SUM(Z520:Z527)</f>
        <v>0</v>
      </c>
    </row>
    <row r="520" spans="1:26" hidden="1" outlineLevel="2">
      <c r="A520" s="19"/>
      <c r="B520" s="38"/>
      <c r="C520" s="207"/>
      <c r="D520" s="208"/>
      <c r="E520" s="133"/>
      <c r="F520" s="261"/>
      <c r="G520" s="138"/>
      <c r="H520" s="135"/>
      <c r="I520" s="206"/>
      <c r="J520" s="206"/>
      <c r="K520" s="206"/>
      <c r="L520" s="137"/>
      <c r="M520" s="163"/>
      <c r="N520" s="163"/>
      <c r="O520" s="288"/>
      <c r="P520" s="205"/>
      <c r="Q520" s="236">
        <f>SUM(R520,U520)</f>
        <v>0</v>
      </c>
      <c r="R520" s="236">
        <f>SUM(S520:T520)</f>
        <v>0</v>
      </c>
      <c r="S520" s="236"/>
      <c r="T520" s="236"/>
      <c r="U520" s="236">
        <f>SUM(V520:Y520)</f>
        <v>0</v>
      </c>
      <c r="V520" s="236"/>
      <c r="W520" s="232">
        <f>V520*0.304</f>
        <v>0</v>
      </c>
      <c r="X520" s="236"/>
      <c r="Y520" s="236"/>
      <c r="Z520" s="236"/>
    </row>
    <row r="521" spans="1:26" hidden="1" outlineLevel="2">
      <c r="A521" s="19"/>
      <c r="B521" s="38"/>
      <c r="C521" s="207"/>
      <c r="D521" s="208"/>
      <c r="E521" s="133"/>
      <c r="F521" s="261"/>
      <c r="G521" s="138"/>
      <c r="H521" s="135"/>
      <c r="I521" s="206"/>
      <c r="J521" s="206"/>
      <c r="K521" s="206"/>
      <c r="L521" s="137"/>
      <c r="M521" s="163"/>
      <c r="N521" s="163"/>
      <c r="O521" s="288"/>
      <c r="P521" s="205"/>
      <c r="Q521" s="236">
        <f t="shared" ref="Q521:Q527" si="198">SUM(R521,U521)</f>
        <v>0</v>
      </c>
      <c r="R521" s="236">
        <f t="shared" ref="R521:R526" si="199">SUM(S521:T521)</f>
        <v>0</v>
      </c>
      <c r="S521" s="236"/>
      <c r="T521" s="236"/>
      <c r="U521" s="236">
        <f t="shared" ref="U521:U527" si="200">SUM(V521:Y521)</f>
        <v>0</v>
      </c>
      <c r="V521" s="236"/>
      <c r="W521" s="232">
        <f t="shared" ref="W521:W527" si="201">V521*0.304</f>
        <v>0</v>
      </c>
      <c r="X521" s="236"/>
      <c r="Y521" s="236"/>
      <c r="Z521" s="236"/>
    </row>
    <row r="522" spans="1:26" hidden="1" outlineLevel="2">
      <c r="A522" s="19"/>
      <c r="B522" s="38"/>
      <c r="C522" s="207"/>
      <c r="D522" s="208"/>
      <c r="E522" s="133"/>
      <c r="F522" s="261"/>
      <c r="G522" s="138"/>
      <c r="H522" s="135"/>
      <c r="I522" s="206"/>
      <c r="J522" s="206"/>
      <c r="K522" s="206"/>
      <c r="L522" s="137"/>
      <c r="M522" s="163"/>
      <c r="N522" s="163"/>
      <c r="O522" s="288"/>
      <c r="P522" s="205"/>
      <c r="Q522" s="236">
        <f t="shared" si="198"/>
        <v>0</v>
      </c>
      <c r="R522" s="236">
        <f t="shared" si="199"/>
        <v>0</v>
      </c>
      <c r="S522" s="236"/>
      <c r="T522" s="236"/>
      <c r="U522" s="236">
        <f t="shared" si="200"/>
        <v>0</v>
      </c>
      <c r="V522" s="236"/>
      <c r="W522" s="232">
        <f t="shared" si="201"/>
        <v>0</v>
      </c>
      <c r="X522" s="236"/>
      <c r="Y522" s="236"/>
      <c r="Z522" s="236"/>
    </row>
    <row r="523" spans="1:26" hidden="1" outlineLevel="2">
      <c r="A523" s="19"/>
      <c r="B523" s="38"/>
      <c r="C523" s="207"/>
      <c r="D523" s="208"/>
      <c r="E523" s="133"/>
      <c r="F523" s="261"/>
      <c r="G523" s="138"/>
      <c r="H523" s="135"/>
      <c r="I523" s="206"/>
      <c r="J523" s="206"/>
      <c r="K523" s="206"/>
      <c r="L523" s="137"/>
      <c r="M523" s="163"/>
      <c r="N523" s="163"/>
      <c r="O523" s="288"/>
      <c r="P523" s="205"/>
      <c r="Q523" s="236">
        <f t="shared" si="198"/>
        <v>0</v>
      </c>
      <c r="R523" s="236">
        <f t="shared" si="199"/>
        <v>0</v>
      </c>
      <c r="S523" s="236"/>
      <c r="T523" s="236"/>
      <c r="U523" s="236">
        <f t="shared" si="200"/>
        <v>0</v>
      </c>
      <c r="V523" s="236"/>
      <c r="W523" s="232">
        <f t="shared" si="201"/>
        <v>0</v>
      </c>
      <c r="X523" s="236"/>
      <c r="Y523" s="236"/>
      <c r="Z523" s="236"/>
    </row>
    <row r="524" spans="1:26" hidden="1" outlineLevel="2">
      <c r="A524" s="19"/>
      <c r="B524" s="38"/>
      <c r="C524" s="207"/>
      <c r="D524" s="208"/>
      <c r="E524" s="133"/>
      <c r="F524" s="261"/>
      <c r="G524" s="138"/>
      <c r="H524" s="135"/>
      <c r="I524" s="206"/>
      <c r="J524" s="206"/>
      <c r="K524" s="206"/>
      <c r="L524" s="137"/>
      <c r="M524" s="163"/>
      <c r="N524" s="163"/>
      <c r="O524" s="288"/>
      <c r="P524" s="205"/>
      <c r="Q524" s="236">
        <f t="shared" si="198"/>
        <v>0</v>
      </c>
      <c r="R524" s="236">
        <f t="shared" si="199"/>
        <v>0</v>
      </c>
      <c r="S524" s="236"/>
      <c r="T524" s="236"/>
      <c r="U524" s="236">
        <f t="shared" si="200"/>
        <v>0</v>
      </c>
      <c r="V524" s="236"/>
      <c r="W524" s="232">
        <f t="shared" si="201"/>
        <v>0</v>
      </c>
      <c r="X524" s="236"/>
      <c r="Y524" s="236"/>
      <c r="Z524" s="236"/>
    </row>
    <row r="525" spans="1:26" hidden="1" outlineLevel="2">
      <c r="A525" s="160"/>
      <c r="B525" s="38"/>
      <c r="C525" s="207"/>
      <c r="D525" s="208"/>
      <c r="E525" s="133"/>
      <c r="F525" s="261"/>
      <c r="G525" s="138"/>
      <c r="H525" s="139"/>
      <c r="I525" s="206"/>
      <c r="J525" s="206"/>
      <c r="K525" s="206"/>
      <c r="L525" s="137"/>
      <c r="M525" s="74"/>
      <c r="N525" s="74"/>
      <c r="O525" s="19"/>
      <c r="P525" s="205"/>
      <c r="Q525" s="236">
        <f t="shared" si="198"/>
        <v>0</v>
      </c>
      <c r="R525" s="236">
        <f t="shared" si="199"/>
        <v>0</v>
      </c>
      <c r="S525" s="235"/>
      <c r="T525" s="235"/>
      <c r="U525" s="236">
        <f t="shared" si="200"/>
        <v>0</v>
      </c>
      <c r="V525" s="235"/>
      <c r="W525" s="232">
        <f t="shared" si="201"/>
        <v>0</v>
      </c>
      <c r="X525" s="235"/>
      <c r="Y525" s="235"/>
      <c r="Z525" s="235"/>
    </row>
    <row r="526" spans="1:26" hidden="1" outlineLevel="2">
      <c r="A526" s="160"/>
      <c r="B526" s="38"/>
      <c r="C526" s="207"/>
      <c r="D526" s="208"/>
      <c r="E526" s="133"/>
      <c r="F526" s="261"/>
      <c r="G526" s="138"/>
      <c r="H526" s="139"/>
      <c r="I526" s="206"/>
      <c r="J526" s="206"/>
      <c r="K526" s="206"/>
      <c r="L526" s="137"/>
      <c r="M526" s="74"/>
      <c r="N526" s="19"/>
      <c r="O526" s="19"/>
      <c r="P526" s="205"/>
      <c r="Q526" s="236">
        <f t="shared" si="198"/>
        <v>0</v>
      </c>
      <c r="R526" s="236">
        <f t="shared" si="199"/>
        <v>0</v>
      </c>
      <c r="S526" s="235"/>
      <c r="T526" s="235"/>
      <c r="U526" s="236">
        <f t="shared" si="200"/>
        <v>0</v>
      </c>
      <c r="V526" s="235"/>
      <c r="W526" s="232">
        <f t="shared" si="201"/>
        <v>0</v>
      </c>
      <c r="X526" s="235"/>
      <c r="Y526" s="235"/>
      <c r="Z526" s="235"/>
    </row>
    <row r="527" spans="1:26" hidden="1" outlineLevel="2">
      <c r="A527" s="160"/>
      <c r="B527" s="38"/>
      <c r="C527" s="207"/>
      <c r="D527" s="208"/>
      <c r="E527" s="133"/>
      <c r="F527" s="261"/>
      <c r="G527" s="138"/>
      <c r="H527" s="139"/>
      <c r="I527" s="206"/>
      <c r="J527" s="206"/>
      <c r="K527" s="206"/>
      <c r="L527" s="137"/>
      <c r="M527" s="74"/>
      <c r="N527" s="19"/>
      <c r="O527" s="19"/>
      <c r="P527" s="205"/>
      <c r="Q527" s="236">
        <f t="shared" si="198"/>
        <v>0</v>
      </c>
      <c r="R527" s="236">
        <f>SUM(S527:T527)</f>
        <v>0</v>
      </c>
      <c r="S527" s="235"/>
      <c r="T527" s="235"/>
      <c r="U527" s="236">
        <f t="shared" si="200"/>
        <v>0</v>
      </c>
      <c r="V527" s="235"/>
      <c r="W527" s="232">
        <f t="shared" si="201"/>
        <v>0</v>
      </c>
      <c r="X527" s="235"/>
      <c r="Y527" s="235"/>
      <c r="Z527" s="235"/>
    </row>
    <row r="528" spans="1:26" hidden="1" outlineLevel="2">
      <c r="A528" s="164"/>
      <c r="B528" s="351"/>
      <c r="C528" s="227"/>
      <c r="D528" s="228"/>
      <c r="E528" s="165"/>
      <c r="F528" s="279"/>
      <c r="G528" s="166"/>
      <c r="H528" s="167"/>
      <c r="I528" s="229"/>
      <c r="J528" s="229"/>
      <c r="K528" s="229"/>
      <c r="L528" s="137"/>
      <c r="M528" s="351"/>
      <c r="N528" s="168"/>
      <c r="O528" s="168"/>
      <c r="P528" s="231"/>
      <c r="Q528" s="233"/>
      <c r="R528" s="233"/>
      <c r="S528" s="233"/>
      <c r="T528" s="233"/>
      <c r="U528" s="233"/>
      <c r="V528" s="233"/>
      <c r="W528" s="233"/>
      <c r="X528" s="233"/>
      <c r="Y528" s="233"/>
      <c r="Z528" s="233"/>
    </row>
    <row r="529" spans="1:26" s="75" customFormat="1" outlineLevel="1" collapsed="1">
      <c r="A529" s="237"/>
      <c r="B529" s="238"/>
      <c r="C529" s="239"/>
      <c r="D529" s="240"/>
      <c r="E529" s="241"/>
      <c r="F529" s="264"/>
      <c r="G529" s="242"/>
      <c r="H529" s="243"/>
      <c r="I529" s="244"/>
      <c r="J529" s="244"/>
      <c r="K529" s="244"/>
      <c r="L529" s="150" t="str">
        <f>CONCATENATE(L530," ",N530,M530," ",L531," ",N531,M531," "," ",L532," ",N532,M532," ",L533," ",N533,M533," ",L534," ",N534,M534," ",L535," ",N535,M535," ",L536," ",N536,M536," ",L537," ",N537,M537)</f>
        <v xml:space="preserve">                </v>
      </c>
      <c r="M529" s="243"/>
      <c r="N529" s="243"/>
      <c r="O529" s="287">
        <f>SUM(O530:O537)</f>
        <v>0</v>
      </c>
      <c r="P529" s="245"/>
      <c r="Q529" s="246">
        <f>SUM(Q530:Q537)</f>
        <v>0</v>
      </c>
      <c r="R529" s="246">
        <f t="shared" ref="R529:Y529" si="202">SUM(R530:R537)</f>
        <v>0</v>
      </c>
      <c r="S529" s="246">
        <f t="shared" si="202"/>
        <v>0</v>
      </c>
      <c r="T529" s="246">
        <f t="shared" si="202"/>
        <v>0</v>
      </c>
      <c r="U529" s="246">
        <f t="shared" si="202"/>
        <v>0</v>
      </c>
      <c r="V529" s="246">
        <f t="shared" si="202"/>
        <v>0</v>
      </c>
      <c r="W529" s="246">
        <f t="shared" si="202"/>
        <v>0</v>
      </c>
      <c r="X529" s="246">
        <f t="shared" si="202"/>
        <v>0</v>
      </c>
      <c r="Y529" s="246">
        <f t="shared" si="202"/>
        <v>0</v>
      </c>
      <c r="Z529" s="246">
        <f>SUM(Z530:Z537)</f>
        <v>0</v>
      </c>
    </row>
    <row r="530" spans="1:26" hidden="1" outlineLevel="2">
      <c r="A530" s="19"/>
      <c r="B530" s="38"/>
      <c r="C530" s="207"/>
      <c r="D530" s="208"/>
      <c r="E530" s="133"/>
      <c r="F530" s="261"/>
      <c r="G530" s="138"/>
      <c r="H530" s="135"/>
      <c r="I530" s="206"/>
      <c r="J530" s="206"/>
      <c r="K530" s="206"/>
      <c r="L530" s="137"/>
      <c r="M530" s="163"/>
      <c r="N530" s="163"/>
      <c r="O530" s="288"/>
      <c r="P530" s="205"/>
      <c r="Q530" s="236">
        <f>SUM(R530,U530)</f>
        <v>0</v>
      </c>
      <c r="R530" s="236">
        <f>SUM(S530:T530)</f>
        <v>0</v>
      </c>
      <c r="S530" s="236"/>
      <c r="T530" s="236"/>
      <c r="U530" s="236">
        <f>SUM(V530:Y530)</f>
        <v>0</v>
      </c>
      <c r="V530" s="236"/>
      <c r="W530" s="232">
        <f>V530*0.304</f>
        <v>0</v>
      </c>
      <c r="X530" s="236"/>
      <c r="Y530" s="236"/>
      <c r="Z530" s="236"/>
    </row>
    <row r="531" spans="1:26" hidden="1" outlineLevel="2">
      <c r="A531" s="19"/>
      <c r="B531" s="38"/>
      <c r="C531" s="207"/>
      <c r="D531" s="208"/>
      <c r="E531" s="133"/>
      <c r="F531" s="261"/>
      <c r="G531" s="138"/>
      <c r="H531" s="135"/>
      <c r="I531" s="206"/>
      <c r="J531" s="206"/>
      <c r="K531" s="206"/>
      <c r="L531" s="137"/>
      <c r="M531" s="163"/>
      <c r="N531" s="163"/>
      <c r="O531" s="288"/>
      <c r="P531" s="205"/>
      <c r="Q531" s="236">
        <f t="shared" ref="Q531:Q537" si="203">SUM(R531,U531)</f>
        <v>0</v>
      </c>
      <c r="R531" s="236">
        <f t="shared" ref="R531:R536" si="204">SUM(S531:T531)</f>
        <v>0</v>
      </c>
      <c r="S531" s="236"/>
      <c r="T531" s="236"/>
      <c r="U531" s="236">
        <f t="shared" ref="U531:U537" si="205">SUM(V531:Y531)</f>
        <v>0</v>
      </c>
      <c r="V531" s="236"/>
      <c r="W531" s="232">
        <f t="shared" ref="W531:W537" si="206">V531*0.304</f>
        <v>0</v>
      </c>
      <c r="X531" s="236"/>
      <c r="Y531" s="236"/>
      <c r="Z531" s="236"/>
    </row>
    <row r="532" spans="1:26" hidden="1" outlineLevel="2">
      <c r="A532" s="19"/>
      <c r="B532" s="38"/>
      <c r="C532" s="207"/>
      <c r="D532" s="208"/>
      <c r="E532" s="133"/>
      <c r="F532" s="261"/>
      <c r="G532" s="138"/>
      <c r="H532" s="135"/>
      <c r="I532" s="206"/>
      <c r="J532" s="206"/>
      <c r="K532" s="206"/>
      <c r="L532" s="137"/>
      <c r="M532" s="163"/>
      <c r="N532" s="163"/>
      <c r="O532" s="288"/>
      <c r="P532" s="205"/>
      <c r="Q532" s="236">
        <f t="shared" si="203"/>
        <v>0</v>
      </c>
      <c r="R532" s="236">
        <f t="shared" si="204"/>
        <v>0</v>
      </c>
      <c r="S532" s="236"/>
      <c r="T532" s="236"/>
      <c r="U532" s="236">
        <f t="shared" si="205"/>
        <v>0</v>
      </c>
      <c r="V532" s="236"/>
      <c r="W532" s="232">
        <f t="shared" si="206"/>
        <v>0</v>
      </c>
      <c r="X532" s="236"/>
      <c r="Y532" s="236"/>
      <c r="Z532" s="236"/>
    </row>
    <row r="533" spans="1:26" hidden="1" outlineLevel="2">
      <c r="A533" s="19"/>
      <c r="B533" s="38"/>
      <c r="C533" s="207"/>
      <c r="D533" s="208"/>
      <c r="E533" s="133"/>
      <c r="F533" s="261"/>
      <c r="G533" s="138"/>
      <c r="H533" s="135"/>
      <c r="I533" s="206"/>
      <c r="J533" s="206"/>
      <c r="K533" s="206"/>
      <c r="L533" s="137"/>
      <c r="M533" s="163"/>
      <c r="N533" s="163"/>
      <c r="O533" s="288"/>
      <c r="P533" s="205"/>
      <c r="Q533" s="236">
        <f t="shared" si="203"/>
        <v>0</v>
      </c>
      <c r="R533" s="236">
        <f t="shared" si="204"/>
        <v>0</v>
      </c>
      <c r="S533" s="236"/>
      <c r="T533" s="236"/>
      <c r="U533" s="236">
        <f t="shared" si="205"/>
        <v>0</v>
      </c>
      <c r="V533" s="236"/>
      <c r="W533" s="232">
        <f t="shared" si="206"/>
        <v>0</v>
      </c>
      <c r="X533" s="236"/>
      <c r="Y533" s="236"/>
      <c r="Z533" s="236"/>
    </row>
    <row r="534" spans="1:26" hidden="1" outlineLevel="2">
      <c r="A534" s="19"/>
      <c r="B534" s="38"/>
      <c r="C534" s="207"/>
      <c r="D534" s="208"/>
      <c r="E534" s="133"/>
      <c r="F534" s="261"/>
      <c r="G534" s="138"/>
      <c r="H534" s="135"/>
      <c r="I534" s="206"/>
      <c r="J534" s="206"/>
      <c r="K534" s="206"/>
      <c r="L534" s="137"/>
      <c r="M534" s="163"/>
      <c r="N534" s="163"/>
      <c r="O534" s="288"/>
      <c r="P534" s="205"/>
      <c r="Q534" s="236">
        <f t="shared" si="203"/>
        <v>0</v>
      </c>
      <c r="R534" s="236">
        <f t="shared" si="204"/>
        <v>0</v>
      </c>
      <c r="S534" s="236"/>
      <c r="T534" s="236"/>
      <c r="U534" s="236">
        <f t="shared" si="205"/>
        <v>0</v>
      </c>
      <c r="V534" s="236"/>
      <c r="W534" s="232">
        <f t="shared" si="206"/>
        <v>0</v>
      </c>
      <c r="X534" s="236"/>
      <c r="Y534" s="236"/>
      <c r="Z534" s="236"/>
    </row>
    <row r="535" spans="1:26" hidden="1" outlineLevel="2">
      <c r="A535" s="160"/>
      <c r="B535" s="38"/>
      <c r="C535" s="207"/>
      <c r="D535" s="208"/>
      <c r="E535" s="133"/>
      <c r="F535" s="261"/>
      <c r="G535" s="138"/>
      <c r="H535" s="139"/>
      <c r="I535" s="206"/>
      <c r="J535" s="206"/>
      <c r="K535" s="206"/>
      <c r="L535" s="137"/>
      <c r="M535" s="74"/>
      <c r="N535" s="74"/>
      <c r="O535" s="19"/>
      <c r="P535" s="205"/>
      <c r="Q535" s="236">
        <f t="shared" si="203"/>
        <v>0</v>
      </c>
      <c r="R535" s="236">
        <f t="shared" si="204"/>
        <v>0</v>
      </c>
      <c r="S535" s="235"/>
      <c r="T535" s="235"/>
      <c r="U535" s="236">
        <f t="shared" si="205"/>
        <v>0</v>
      </c>
      <c r="V535" s="235"/>
      <c r="W535" s="232">
        <f t="shared" si="206"/>
        <v>0</v>
      </c>
      <c r="X535" s="235"/>
      <c r="Y535" s="235"/>
      <c r="Z535" s="235"/>
    </row>
    <row r="536" spans="1:26" hidden="1" outlineLevel="2">
      <c r="A536" s="160"/>
      <c r="B536" s="38"/>
      <c r="C536" s="207"/>
      <c r="D536" s="208"/>
      <c r="E536" s="133"/>
      <c r="F536" s="261"/>
      <c r="G536" s="138"/>
      <c r="H536" s="139"/>
      <c r="I536" s="206"/>
      <c r="J536" s="206"/>
      <c r="K536" s="206"/>
      <c r="L536" s="137"/>
      <c r="M536" s="74"/>
      <c r="N536" s="19"/>
      <c r="O536" s="19"/>
      <c r="P536" s="205"/>
      <c r="Q536" s="236">
        <f t="shared" si="203"/>
        <v>0</v>
      </c>
      <c r="R536" s="236">
        <f t="shared" si="204"/>
        <v>0</v>
      </c>
      <c r="S536" s="235"/>
      <c r="T536" s="235"/>
      <c r="U536" s="236">
        <f t="shared" si="205"/>
        <v>0</v>
      </c>
      <c r="V536" s="235"/>
      <c r="W536" s="232">
        <f t="shared" si="206"/>
        <v>0</v>
      </c>
      <c r="X536" s="235"/>
      <c r="Y536" s="235"/>
      <c r="Z536" s="235"/>
    </row>
    <row r="537" spans="1:26" hidden="1" outlineLevel="2">
      <c r="A537" s="160"/>
      <c r="B537" s="38"/>
      <c r="C537" s="207"/>
      <c r="D537" s="208"/>
      <c r="E537" s="133"/>
      <c r="F537" s="261"/>
      <c r="G537" s="138"/>
      <c r="H537" s="139"/>
      <c r="I537" s="206"/>
      <c r="J537" s="206"/>
      <c r="K537" s="206"/>
      <c r="L537" s="137"/>
      <c r="M537" s="74"/>
      <c r="N537" s="19"/>
      <c r="O537" s="19"/>
      <c r="P537" s="205"/>
      <c r="Q537" s="236">
        <f t="shared" si="203"/>
        <v>0</v>
      </c>
      <c r="R537" s="236">
        <f>SUM(S537:T537)</f>
        <v>0</v>
      </c>
      <c r="S537" s="235"/>
      <c r="T537" s="235"/>
      <c r="U537" s="236">
        <f t="shared" si="205"/>
        <v>0</v>
      </c>
      <c r="V537" s="235"/>
      <c r="W537" s="232">
        <f t="shared" si="206"/>
        <v>0</v>
      </c>
      <c r="X537" s="235"/>
      <c r="Y537" s="235"/>
      <c r="Z537" s="235"/>
    </row>
    <row r="538" spans="1:26" hidden="1" outlineLevel="2">
      <c r="A538" s="164"/>
      <c r="B538" s="351"/>
      <c r="C538" s="227"/>
      <c r="D538" s="228"/>
      <c r="E538" s="165"/>
      <c r="F538" s="279"/>
      <c r="G538" s="166"/>
      <c r="H538" s="167"/>
      <c r="I538" s="229"/>
      <c r="J538" s="229"/>
      <c r="K538" s="229"/>
      <c r="L538" s="137"/>
      <c r="M538" s="351"/>
      <c r="N538" s="168"/>
      <c r="O538" s="168"/>
      <c r="P538" s="231"/>
      <c r="Q538" s="233"/>
      <c r="R538" s="233"/>
      <c r="S538" s="233"/>
      <c r="T538" s="233"/>
      <c r="U538" s="233"/>
      <c r="V538" s="233"/>
      <c r="W538" s="233"/>
      <c r="X538" s="233"/>
      <c r="Y538" s="233"/>
      <c r="Z538" s="233"/>
    </row>
    <row r="539" spans="1:26" s="75" customFormat="1" outlineLevel="1" collapsed="1">
      <c r="A539" s="237"/>
      <c r="B539" s="238"/>
      <c r="C539" s="239"/>
      <c r="D539" s="240"/>
      <c r="E539" s="241"/>
      <c r="F539" s="264"/>
      <c r="G539" s="242"/>
      <c r="H539" s="243"/>
      <c r="I539" s="244"/>
      <c r="J539" s="244"/>
      <c r="K539" s="244"/>
      <c r="L539" s="150" t="str">
        <f>CONCATENATE(L540," ",N540,M540," ",L541," ",N541,M541," "," ",L542," ",N542,M542," ",L543," ",N543,M543," ",L544," ",N544,M544," ",L545," ",N545,M545," ",L546," ",N546,M546," ",L547," ",N547,M547)</f>
        <v xml:space="preserve">                </v>
      </c>
      <c r="M539" s="243"/>
      <c r="N539" s="243"/>
      <c r="O539" s="287">
        <f>SUM(O540:O547)</f>
        <v>0</v>
      </c>
      <c r="P539" s="245"/>
      <c r="Q539" s="246">
        <f>SUM(Q540:Q547)</f>
        <v>0</v>
      </c>
      <c r="R539" s="246">
        <f t="shared" ref="R539:Y539" si="207">SUM(R540:R547)</f>
        <v>0</v>
      </c>
      <c r="S539" s="246">
        <f t="shared" si="207"/>
        <v>0</v>
      </c>
      <c r="T539" s="246">
        <f t="shared" si="207"/>
        <v>0</v>
      </c>
      <c r="U539" s="246">
        <f t="shared" si="207"/>
        <v>0</v>
      </c>
      <c r="V539" s="246">
        <f t="shared" si="207"/>
        <v>0</v>
      </c>
      <c r="W539" s="246">
        <f t="shared" si="207"/>
        <v>0</v>
      </c>
      <c r="X539" s="246">
        <f t="shared" si="207"/>
        <v>0</v>
      </c>
      <c r="Y539" s="246">
        <f t="shared" si="207"/>
        <v>0</v>
      </c>
      <c r="Z539" s="246">
        <f>SUM(Z540:Z547)</f>
        <v>0</v>
      </c>
    </row>
    <row r="540" spans="1:26" hidden="1" outlineLevel="2">
      <c r="A540" s="19"/>
      <c r="B540" s="38"/>
      <c r="C540" s="207"/>
      <c r="D540" s="208"/>
      <c r="E540" s="133"/>
      <c r="F540" s="261"/>
      <c r="G540" s="138"/>
      <c r="H540" s="135"/>
      <c r="I540" s="206"/>
      <c r="J540" s="206"/>
      <c r="K540" s="206"/>
      <c r="L540" s="137"/>
      <c r="M540" s="163"/>
      <c r="N540" s="163"/>
      <c r="O540" s="288"/>
      <c r="P540" s="205"/>
      <c r="Q540" s="236">
        <f>SUM(R540,U540)</f>
        <v>0</v>
      </c>
      <c r="R540" s="236">
        <f>SUM(S540:T540)</f>
        <v>0</v>
      </c>
      <c r="S540" s="236"/>
      <c r="T540" s="236"/>
      <c r="U540" s="236">
        <f>SUM(V540:Y540)</f>
        <v>0</v>
      </c>
      <c r="V540" s="236"/>
      <c r="W540" s="232">
        <f>V540*0.304</f>
        <v>0</v>
      </c>
      <c r="X540" s="236"/>
      <c r="Y540" s="236"/>
      <c r="Z540" s="236"/>
    </row>
    <row r="541" spans="1:26" hidden="1" outlineLevel="2">
      <c r="A541" s="19"/>
      <c r="B541" s="38"/>
      <c r="C541" s="207"/>
      <c r="D541" s="208"/>
      <c r="E541" s="133"/>
      <c r="F541" s="261"/>
      <c r="G541" s="138"/>
      <c r="H541" s="135"/>
      <c r="I541" s="206"/>
      <c r="J541" s="206"/>
      <c r="K541" s="206"/>
      <c r="L541" s="137"/>
      <c r="M541" s="163"/>
      <c r="N541" s="163"/>
      <c r="O541" s="288"/>
      <c r="P541" s="205"/>
      <c r="Q541" s="236">
        <f t="shared" ref="Q541:Q547" si="208">SUM(R541,U541)</f>
        <v>0</v>
      </c>
      <c r="R541" s="236">
        <f t="shared" ref="R541:R546" si="209">SUM(S541:T541)</f>
        <v>0</v>
      </c>
      <c r="S541" s="236"/>
      <c r="T541" s="236"/>
      <c r="U541" s="236">
        <f t="shared" ref="U541:U547" si="210">SUM(V541:Y541)</f>
        <v>0</v>
      </c>
      <c r="V541" s="236"/>
      <c r="W541" s="232">
        <f t="shared" ref="W541:W547" si="211">V541*0.304</f>
        <v>0</v>
      </c>
      <c r="X541" s="236"/>
      <c r="Y541" s="236"/>
      <c r="Z541" s="236"/>
    </row>
    <row r="542" spans="1:26" hidden="1" outlineLevel="2">
      <c r="A542" s="19"/>
      <c r="B542" s="38"/>
      <c r="C542" s="207"/>
      <c r="D542" s="208"/>
      <c r="E542" s="133"/>
      <c r="F542" s="261"/>
      <c r="G542" s="138"/>
      <c r="H542" s="135"/>
      <c r="I542" s="206"/>
      <c r="J542" s="206"/>
      <c r="K542" s="206"/>
      <c r="L542" s="137"/>
      <c r="M542" s="163"/>
      <c r="N542" s="163"/>
      <c r="O542" s="288"/>
      <c r="P542" s="205"/>
      <c r="Q542" s="236">
        <f t="shared" si="208"/>
        <v>0</v>
      </c>
      <c r="R542" s="236">
        <f t="shared" si="209"/>
        <v>0</v>
      </c>
      <c r="S542" s="236"/>
      <c r="T542" s="236"/>
      <c r="U542" s="236">
        <f t="shared" si="210"/>
        <v>0</v>
      </c>
      <c r="V542" s="236"/>
      <c r="W542" s="232">
        <f t="shared" si="211"/>
        <v>0</v>
      </c>
      <c r="X542" s="236"/>
      <c r="Y542" s="236"/>
      <c r="Z542" s="236"/>
    </row>
    <row r="543" spans="1:26" hidden="1" outlineLevel="2">
      <c r="A543" s="19"/>
      <c r="B543" s="38"/>
      <c r="C543" s="207"/>
      <c r="D543" s="208"/>
      <c r="E543" s="133"/>
      <c r="F543" s="261"/>
      <c r="G543" s="138"/>
      <c r="H543" s="135"/>
      <c r="I543" s="206"/>
      <c r="J543" s="206"/>
      <c r="K543" s="206"/>
      <c r="L543" s="137"/>
      <c r="M543" s="163"/>
      <c r="N543" s="163"/>
      <c r="O543" s="288"/>
      <c r="P543" s="205"/>
      <c r="Q543" s="236">
        <f t="shared" si="208"/>
        <v>0</v>
      </c>
      <c r="R543" s="236">
        <f t="shared" si="209"/>
        <v>0</v>
      </c>
      <c r="S543" s="236"/>
      <c r="T543" s="236"/>
      <c r="U543" s="236">
        <f t="shared" si="210"/>
        <v>0</v>
      </c>
      <c r="V543" s="236"/>
      <c r="W543" s="232">
        <f t="shared" si="211"/>
        <v>0</v>
      </c>
      <c r="X543" s="236"/>
      <c r="Y543" s="236"/>
      <c r="Z543" s="236"/>
    </row>
    <row r="544" spans="1:26" hidden="1" outlineLevel="2">
      <c r="A544" s="19"/>
      <c r="B544" s="38"/>
      <c r="C544" s="207"/>
      <c r="D544" s="208"/>
      <c r="E544" s="133"/>
      <c r="F544" s="261"/>
      <c r="G544" s="138"/>
      <c r="H544" s="135"/>
      <c r="I544" s="206"/>
      <c r="J544" s="206"/>
      <c r="K544" s="206"/>
      <c r="L544" s="137"/>
      <c r="M544" s="163"/>
      <c r="N544" s="163"/>
      <c r="O544" s="288"/>
      <c r="P544" s="205"/>
      <c r="Q544" s="236">
        <f t="shared" si="208"/>
        <v>0</v>
      </c>
      <c r="R544" s="236">
        <f t="shared" si="209"/>
        <v>0</v>
      </c>
      <c r="S544" s="236"/>
      <c r="T544" s="236"/>
      <c r="U544" s="236">
        <f t="shared" si="210"/>
        <v>0</v>
      </c>
      <c r="V544" s="236"/>
      <c r="W544" s="232">
        <f t="shared" si="211"/>
        <v>0</v>
      </c>
      <c r="X544" s="236"/>
      <c r="Y544" s="236"/>
      <c r="Z544" s="236"/>
    </row>
    <row r="545" spans="1:26" hidden="1" outlineLevel="2">
      <c r="A545" s="160"/>
      <c r="B545" s="38"/>
      <c r="C545" s="207"/>
      <c r="D545" s="208"/>
      <c r="E545" s="133"/>
      <c r="F545" s="261"/>
      <c r="G545" s="138"/>
      <c r="H545" s="139"/>
      <c r="I545" s="206"/>
      <c r="J545" s="206"/>
      <c r="K545" s="206"/>
      <c r="L545" s="137"/>
      <c r="M545" s="74"/>
      <c r="N545" s="74"/>
      <c r="O545" s="19"/>
      <c r="P545" s="205"/>
      <c r="Q545" s="236">
        <f t="shared" si="208"/>
        <v>0</v>
      </c>
      <c r="R545" s="236">
        <f t="shared" si="209"/>
        <v>0</v>
      </c>
      <c r="S545" s="235"/>
      <c r="T545" s="235"/>
      <c r="U545" s="236">
        <f t="shared" si="210"/>
        <v>0</v>
      </c>
      <c r="V545" s="235"/>
      <c r="W545" s="232">
        <f t="shared" si="211"/>
        <v>0</v>
      </c>
      <c r="X545" s="235"/>
      <c r="Y545" s="235"/>
      <c r="Z545" s="235"/>
    </row>
    <row r="546" spans="1:26" hidden="1" outlineLevel="2">
      <c r="A546" s="160"/>
      <c r="B546" s="38"/>
      <c r="C546" s="207"/>
      <c r="D546" s="208"/>
      <c r="E546" s="133"/>
      <c r="F546" s="261"/>
      <c r="G546" s="138"/>
      <c r="H546" s="139"/>
      <c r="I546" s="206"/>
      <c r="J546" s="206"/>
      <c r="K546" s="206"/>
      <c r="L546" s="137"/>
      <c r="M546" s="74"/>
      <c r="N546" s="19"/>
      <c r="O546" s="19"/>
      <c r="P546" s="205"/>
      <c r="Q546" s="236">
        <f t="shared" si="208"/>
        <v>0</v>
      </c>
      <c r="R546" s="236">
        <f t="shared" si="209"/>
        <v>0</v>
      </c>
      <c r="S546" s="235"/>
      <c r="T546" s="235"/>
      <c r="U546" s="236">
        <f t="shared" si="210"/>
        <v>0</v>
      </c>
      <c r="V546" s="235"/>
      <c r="W546" s="232">
        <f t="shared" si="211"/>
        <v>0</v>
      </c>
      <c r="X546" s="235"/>
      <c r="Y546" s="235"/>
      <c r="Z546" s="235"/>
    </row>
    <row r="547" spans="1:26" hidden="1" outlineLevel="2">
      <c r="A547" s="160"/>
      <c r="B547" s="38"/>
      <c r="C547" s="207"/>
      <c r="D547" s="208"/>
      <c r="E547" s="133"/>
      <c r="F547" s="261"/>
      <c r="G547" s="138"/>
      <c r="H547" s="139"/>
      <c r="I547" s="206"/>
      <c r="J547" s="206"/>
      <c r="K547" s="206"/>
      <c r="L547" s="137"/>
      <c r="M547" s="74"/>
      <c r="N547" s="19"/>
      <c r="O547" s="19"/>
      <c r="P547" s="205"/>
      <c r="Q547" s="236">
        <f t="shared" si="208"/>
        <v>0</v>
      </c>
      <c r="R547" s="236">
        <f>SUM(S547:T547)</f>
        <v>0</v>
      </c>
      <c r="S547" s="235"/>
      <c r="T547" s="235"/>
      <c r="U547" s="236">
        <f t="shared" si="210"/>
        <v>0</v>
      </c>
      <c r="V547" s="235"/>
      <c r="W547" s="232">
        <f t="shared" si="211"/>
        <v>0</v>
      </c>
      <c r="X547" s="235"/>
      <c r="Y547" s="235"/>
      <c r="Z547" s="235"/>
    </row>
    <row r="548" spans="1:26" hidden="1" outlineLevel="2">
      <c r="A548" s="164"/>
      <c r="B548" s="351"/>
      <c r="C548" s="227"/>
      <c r="D548" s="228"/>
      <c r="E548" s="165"/>
      <c r="F548" s="279"/>
      <c r="G548" s="166"/>
      <c r="H548" s="167"/>
      <c r="I548" s="229"/>
      <c r="J548" s="229"/>
      <c r="K548" s="229"/>
      <c r="L548" s="137"/>
      <c r="M548" s="351"/>
      <c r="N548" s="168"/>
      <c r="O548" s="168"/>
      <c r="P548" s="231"/>
      <c r="Q548" s="233"/>
      <c r="R548" s="233"/>
      <c r="S548" s="233"/>
      <c r="T548" s="233"/>
      <c r="U548" s="233"/>
      <c r="V548" s="233"/>
      <c r="W548" s="233"/>
      <c r="X548" s="233"/>
      <c r="Y548" s="233"/>
      <c r="Z548" s="233"/>
    </row>
    <row r="549" spans="1:26" s="75" customFormat="1" outlineLevel="1" collapsed="1">
      <c r="A549" s="237"/>
      <c r="B549" s="238"/>
      <c r="C549" s="239"/>
      <c r="D549" s="240"/>
      <c r="E549" s="241"/>
      <c r="F549" s="264"/>
      <c r="G549" s="242"/>
      <c r="H549" s="243"/>
      <c r="I549" s="244"/>
      <c r="J549" s="244"/>
      <c r="K549" s="244"/>
      <c r="L549" s="150" t="str">
        <f>CONCATENATE(L550," ",N550,M550," ",L551," ",N551,M551," "," ",L552," ",N552,M552," ",L553," ",N553,M553," ",L554," ",N554,M554," ",L555," ",N555,M555," ",L556," ",N556,M556," ",L557," ",N557,M557)</f>
        <v xml:space="preserve">                </v>
      </c>
      <c r="M549" s="243"/>
      <c r="N549" s="243"/>
      <c r="O549" s="287">
        <f>SUM(O550:O557)</f>
        <v>0</v>
      </c>
      <c r="P549" s="245"/>
      <c r="Q549" s="246">
        <f>SUM(Q550:Q557)</f>
        <v>0</v>
      </c>
      <c r="R549" s="246">
        <f t="shared" ref="R549:Y549" si="212">SUM(R550:R557)</f>
        <v>0</v>
      </c>
      <c r="S549" s="246">
        <f t="shared" si="212"/>
        <v>0</v>
      </c>
      <c r="T549" s="246">
        <f t="shared" si="212"/>
        <v>0</v>
      </c>
      <c r="U549" s="246">
        <f t="shared" si="212"/>
        <v>0</v>
      </c>
      <c r="V549" s="246">
        <f t="shared" si="212"/>
        <v>0</v>
      </c>
      <c r="W549" s="246">
        <f t="shared" si="212"/>
        <v>0</v>
      </c>
      <c r="X549" s="246">
        <f t="shared" si="212"/>
        <v>0</v>
      </c>
      <c r="Y549" s="246">
        <f t="shared" si="212"/>
        <v>0</v>
      </c>
      <c r="Z549" s="246">
        <f>SUM(Z550:Z557)</f>
        <v>0</v>
      </c>
    </row>
    <row r="550" spans="1:26" hidden="1" outlineLevel="2">
      <c r="A550" s="19"/>
      <c r="B550" s="38"/>
      <c r="C550" s="207"/>
      <c r="D550" s="208"/>
      <c r="E550" s="133"/>
      <c r="F550" s="261"/>
      <c r="G550" s="138"/>
      <c r="H550" s="135"/>
      <c r="I550" s="206"/>
      <c r="J550" s="206"/>
      <c r="K550" s="206"/>
      <c r="L550" s="137"/>
      <c r="M550" s="163"/>
      <c r="N550" s="163"/>
      <c r="O550" s="288"/>
      <c r="P550" s="205"/>
      <c r="Q550" s="236">
        <f>SUM(R550,U550)</f>
        <v>0</v>
      </c>
      <c r="R550" s="236">
        <f>SUM(S550:T550)</f>
        <v>0</v>
      </c>
      <c r="S550" s="236"/>
      <c r="T550" s="236"/>
      <c r="U550" s="236">
        <f>SUM(V550:Y550)</f>
        <v>0</v>
      </c>
      <c r="V550" s="236"/>
      <c r="W550" s="232">
        <f>V550*0.304</f>
        <v>0</v>
      </c>
      <c r="X550" s="236"/>
      <c r="Y550" s="236"/>
      <c r="Z550" s="236"/>
    </row>
    <row r="551" spans="1:26" hidden="1" outlineLevel="2">
      <c r="A551" s="19"/>
      <c r="B551" s="38"/>
      <c r="C551" s="207"/>
      <c r="D551" s="208"/>
      <c r="E551" s="133"/>
      <c r="F551" s="261"/>
      <c r="G551" s="138"/>
      <c r="H551" s="135"/>
      <c r="I551" s="206"/>
      <c r="J551" s="206"/>
      <c r="K551" s="206"/>
      <c r="L551" s="137"/>
      <c r="M551" s="163"/>
      <c r="N551" s="163"/>
      <c r="O551" s="288"/>
      <c r="P551" s="205"/>
      <c r="Q551" s="236">
        <f t="shared" ref="Q551:Q557" si="213">SUM(R551,U551)</f>
        <v>0</v>
      </c>
      <c r="R551" s="236">
        <f t="shared" ref="R551:R556" si="214">SUM(S551:T551)</f>
        <v>0</v>
      </c>
      <c r="S551" s="236"/>
      <c r="T551" s="236"/>
      <c r="U551" s="236">
        <f t="shared" ref="U551:U557" si="215">SUM(V551:Y551)</f>
        <v>0</v>
      </c>
      <c r="V551" s="236"/>
      <c r="W551" s="232">
        <f t="shared" ref="W551:W557" si="216">V551*0.304</f>
        <v>0</v>
      </c>
      <c r="X551" s="236"/>
      <c r="Y551" s="236"/>
      <c r="Z551" s="236"/>
    </row>
    <row r="552" spans="1:26" hidden="1" outlineLevel="2">
      <c r="A552" s="19"/>
      <c r="B552" s="38"/>
      <c r="C552" s="207"/>
      <c r="D552" s="208"/>
      <c r="E552" s="133"/>
      <c r="F552" s="261"/>
      <c r="G552" s="138"/>
      <c r="H552" s="135"/>
      <c r="I552" s="206"/>
      <c r="J552" s="206"/>
      <c r="K552" s="206"/>
      <c r="L552" s="137"/>
      <c r="M552" s="163"/>
      <c r="N552" s="163"/>
      <c r="O552" s="288"/>
      <c r="P552" s="205"/>
      <c r="Q552" s="236">
        <f t="shared" si="213"/>
        <v>0</v>
      </c>
      <c r="R552" s="236">
        <f t="shared" si="214"/>
        <v>0</v>
      </c>
      <c r="S552" s="236"/>
      <c r="T552" s="236"/>
      <c r="U552" s="236">
        <f t="shared" si="215"/>
        <v>0</v>
      </c>
      <c r="V552" s="236"/>
      <c r="W552" s="232">
        <f t="shared" si="216"/>
        <v>0</v>
      </c>
      <c r="X552" s="236"/>
      <c r="Y552" s="236"/>
      <c r="Z552" s="236"/>
    </row>
    <row r="553" spans="1:26" hidden="1" outlineLevel="2">
      <c r="A553" s="19"/>
      <c r="B553" s="38"/>
      <c r="C553" s="207"/>
      <c r="D553" s="208"/>
      <c r="E553" s="133"/>
      <c r="F553" s="261"/>
      <c r="G553" s="138"/>
      <c r="H553" s="135"/>
      <c r="I553" s="206"/>
      <c r="J553" s="206"/>
      <c r="K553" s="206"/>
      <c r="L553" s="137"/>
      <c r="M553" s="163"/>
      <c r="N553" s="163"/>
      <c r="O553" s="288"/>
      <c r="P553" s="205"/>
      <c r="Q553" s="236">
        <f t="shared" si="213"/>
        <v>0</v>
      </c>
      <c r="R553" s="236">
        <f t="shared" si="214"/>
        <v>0</v>
      </c>
      <c r="S553" s="236"/>
      <c r="T553" s="236"/>
      <c r="U553" s="236">
        <f t="shared" si="215"/>
        <v>0</v>
      </c>
      <c r="V553" s="236"/>
      <c r="W553" s="232">
        <f t="shared" si="216"/>
        <v>0</v>
      </c>
      <c r="X553" s="236"/>
      <c r="Y553" s="236"/>
      <c r="Z553" s="236"/>
    </row>
    <row r="554" spans="1:26" hidden="1" outlineLevel="2">
      <c r="A554" s="19"/>
      <c r="B554" s="38"/>
      <c r="C554" s="207"/>
      <c r="D554" s="208"/>
      <c r="E554" s="133"/>
      <c r="F554" s="261"/>
      <c r="G554" s="138"/>
      <c r="H554" s="135"/>
      <c r="I554" s="206"/>
      <c r="J554" s="206"/>
      <c r="K554" s="206"/>
      <c r="L554" s="137"/>
      <c r="M554" s="163"/>
      <c r="N554" s="163"/>
      <c r="O554" s="288"/>
      <c r="P554" s="205"/>
      <c r="Q554" s="236">
        <f t="shared" si="213"/>
        <v>0</v>
      </c>
      <c r="R554" s="236">
        <f t="shared" si="214"/>
        <v>0</v>
      </c>
      <c r="S554" s="236"/>
      <c r="T554" s="236"/>
      <c r="U554" s="236">
        <f t="shared" si="215"/>
        <v>0</v>
      </c>
      <c r="V554" s="236"/>
      <c r="W554" s="232">
        <f t="shared" si="216"/>
        <v>0</v>
      </c>
      <c r="X554" s="236"/>
      <c r="Y554" s="236"/>
      <c r="Z554" s="236"/>
    </row>
    <row r="555" spans="1:26" hidden="1" outlineLevel="2">
      <c r="A555" s="160"/>
      <c r="B555" s="38"/>
      <c r="C555" s="207"/>
      <c r="D555" s="208"/>
      <c r="E555" s="133"/>
      <c r="F555" s="261"/>
      <c r="G555" s="138"/>
      <c r="H555" s="139"/>
      <c r="I555" s="206"/>
      <c r="J555" s="206"/>
      <c r="K555" s="206"/>
      <c r="L555" s="137"/>
      <c r="M555" s="74"/>
      <c r="N555" s="74"/>
      <c r="O555" s="19"/>
      <c r="P555" s="205"/>
      <c r="Q555" s="236">
        <f t="shared" si="213"/>
        <v>0</v>
      </c>
      <c r="R555" s="236">
        <f t="shared" si="214"/>
        <v>0</v>
      </c>
      <c r="S555" s="235"/>
      <c r="T555" s="235"/>
      <c r="U555" s="236">
        <f t="shared" si="215"/>
        <v>0</v>
      </c>
      <c r="V555" s="235"/>
      <c r="W555" s="232">
        <f t="shared" si="216"/>
        <v>0</v>
      </c>
      <c r="X555" s="235"/>
      <c r="Y555" s="235"/>
      <c r="Z555" s="235"/>
    </row>
    <row r="556" spans="1:26" hidden="1" outlineLevel="2">
      <c r="A556" s="160"/>
      <c r="B556" s="38"/>
      <c r="C556" s="207"/>
      <c r="D556" s="208"/>
      <c r="E556" s="133"/>
      <c r="F556" s="261"/>
      <c r="G556" s="138"/>
      <c r="H556" s="139"/>
      <c r="I556" s="206"/>
      <c r="J556" s="206"/>
      <c r="K556" s="206"/>
      <c r="L556" s="137"/>
      <c r="M556" s="74"/>
      <c r="N556" s="19"/>
      <c r="O556" s="19"/>
      <c r="P556" s="205"/>
      <c r="Q556" s="236">
        <f t="shared" si="213"/>
        <v>0</v>
      </c>
      <c r="R556" s="236">
        <f t="shared" si="214"/>
        <v>0</v>
      </c>
      <c r="S556" s="235"/>
      <c r="T556" s="235"/>
      <c r="U556" s="236">
        <f t="shared" si="215"/>
        <v>0</v>
      </c>
      <c r="V556" s="235"/>
      <c r="W556" s="232">
        <f t="shared" si="216"/>
        <v>0</v>
      </c>
      <c r="X556" s="235"/>
      <c r="Y556" s="235"/>
      <c r="Z556" s="235"/>
    </row>
    <row r="557" spans="1:26" hidden="1" outlineLevel="2">
      <c r="A557" s="160"/>
      <c r="B557" s="38"/>
      <c r="C557" s="207"/>
      <c r="D557" s="208"/>
      <c r="E557" s="133"/>
      <c r="F557" s="261"/>
      <c r="G557" s="138"/>
      <c r="H557" s="139"/>
      <c r="I557" s="206"/>
      <c r="J557" s="206"/>
      <c r="K557" s="206"/>
      <c r="L557" s="137"/>
      <c r="M557" s="74"/>
      <c r="N557" s="19"/>
      <c r="O557" s="19"/>
      <c r="P557" s="205"/>
      <c r="Q557" s="236">
        <f t="shared" si="213"/>
        <v>0</v>
      </c>
      <c r="R557" s="236">
        <f>SUM(S557:T557)</f>
        <v>0</v>
      </c>
      <c r="S557" s="235"/>
      <c r="T557" s="235"/>
      <c r="U557" s="236">
        <f t="shared" si="215"/>
        <v>0</v>
      </c>
      <c r="V557" s="235"/>
      <c r="W557" s="232">
        <f t="shared" si="216"/>
        <v>0</v>
      </c>
      <c r="X557" s="235"/>
      <c r="Y557" s="235"/>
      <c r="Z557" s="235"/>
    </row>
    <row r="558" spans="1:26" hidden="1" outlineLevel="2">
      <c r="A558" s="164"/>
      <c r="B558" s="351"/>
      <c r="C558" s="227"/>
      <c r="D558" s="228"/>
      <c r="E558" s="165"/>
      <c r="F558" s="279"/>
      <c r="G558" s="166"/>
      <c r="H558" s="167"/>
      <c r="I558" s="229"/>
      <c r="J558" s="229"/>
      <c r="K558" s="229"/>
      <c r="L558" s="137"/>
      <c r="M558" s="351"/>
      <c r="N558" s="168"/>
      <c r="O558" s="168"/>
      <c r="P558" s="231"/>
      <c r="Q558" s="233"/>
      <c r="R558" s="233"/>
      <c r="S558" s="233"/>
      <c r="T558" s="233"/>
      <c r="U558" s="233"/>
      <c r="V558" s="233"/>
      <c r="W558" s="233"/>
      <c r="X558" s="233"/>
      <c r="Y558" s="233"/>
      <c r="Z558" s="233"/>
    </row>
    <row r="559" spans="1:26" s="75" customFormat="1" outlineLevel="1" collapsed="1">
      <c r="A559" s="237"/>
      <c r="B559" s="238"/>
      <c r="C559" s="239"/>
      <c r="D559" s="240"/>
      <c r="E559" s="241"/>
      <c r="F559" s="264"/>
      <c r="G559" s="242"/>
      <c r="H559" s="243"/>
      <c r="I559" s="244"/>
      <c r="J559" s="244"/>
      <c r="K559" s="244"/>
      <c r="L559" s="150" t="str">
        <f>CONCATENATE(L560," ",N560,M560," ",L561," ",N561,M561," "," ",L562," ",N562,M562," ",L563," ",N563,M563," ",L564," ",N564,M564," ",L565," ",N565,M565," ",L566," ",N566,M566," ",L567," ",N567,M567)</f>
        <v xml:space="preserve">                </v>
      </c>
      <c r="M559" s="243"/>
      <c r="N559" s="243"/>
      <c r="O559" s="287">
        <f>SUM(O560:O567)</f>
        <v>0</v>
      </c>
      <c r="P559" s="245"/>
      <c r="Q559" s="246">
        <f>SUM(Q560:Q567)</f>
        <v>0</v>
      </c>
      <c r="R559" s="246">
        <f t="shared" ref="R559:Y559" si="217">SUM(R560:R567)</f>
        <v>0</v>
      </c>
      <c r="S559" s="246">
        <f t="shared" si="217"/>
        <v>0</v>
      </c>
      <c r="T559" s="246">
        <f t="shared" si="217"/>
        <v>0</v>
      </c>
      <c r="U559" s="246">
        <f t="shared" si="217"/>
        <v>0</v>
      </c>
      <c r="V559" s="246">
        <f t="shared" si="217"/>
        <v>0</v>
      </c>
      <c r="W559" s="246">
        <f t="shared" si="217"/>
        <v>0</v>
      </c>
      <c r="X559" s="246">
        <f t="shared" si="217"/>
        <v>0</v>
      </c>
      <c r="Y559" s="246">
        <f t="shared" si="217"/>
        <v>0</v>
      </c>
      <c r="Z559" s="246">
        <f>SUM(Z560:Z567)</f>
        <v>0</v>
      </c>
    </row>
    <row r="560" spans="1:26" hidden="1" outlineLevel="2">
      <c r="A560" s="19"/>
      <c r="B560" s="38"/>
      <c r="C560" s="207"/>
      <c r="D560" s="208"/>
      <c r="E560" s="133"/>
      <c r="F560" s="261"/>
      <c r="G560" s="138"/>
      <c r="H560" s="135"/>
      <c r="I560" s="206"/>
      <c r="J560" s="206"/>
      <c r="K560" s="206"/>
      <c r="L560" s="137"/>
      <c r="M560" s="163"/>
      <c r="N560" s="163"/>
      <c r="O560" s="288"/>
      <c r="P560" s="205"/>
      <c r="Q560" s="236">
        <f>SUM(R560,U560)</f>
        <v>0</v>
      </c>
      <c r="R560" s="236">
        <f>SUM(S560:T560)</f>
        <v>0</v>
      </c>
      <c r="S560" s="236"/>
      <c r="T560" s="236"/>
      <c r="U560" s="236">
        <f>SUM(V560:Y560)</f>
        <v>0</v>
      </c>
      <c r="V560" s="236"/>
      <c r="W560" s="232">
        <f>V560*0.304</f>
        <v>0</v>
      </c>
      <c r="X560" s="236"/>
      <c r="Y560" s="236"/>
      <c r="Z560" s="236"/>
    </row>
    <row r="561" spans="1:26" hidden="1" outlineLevel="2">
      <c r="A561" s="19"/>
      <c r="B561" s="38"/>
      <c r="C561" s="207"/>
      <c r="D561" s="208"/>
      <c r="E561" s="133"/>
      <c r="F561" s="261"/>
      <c r="G561" s="138"/>
      <c r="H561" s="135"/>
      <c r="I561" s="206"/>
      <c r="J561" s="206"/>
      <c r="K561" s="206"/>
      <c r="L561" s="137"/>
      <c r="M561" s="163"/>
      <c r="N561" s="163"/>
      <c r="O561" s="288"/>
      <c r="P561" s="205"/>
      <c r="Q561" s="236">
        <f t="shared" ref="Q561:Q567" si="218">SUM(R561,U561)</f>
        <v>0</v>
      </c>
      <c r="R561" s="236">
        <f t="shared" ref="R561:R566" si="219">SUM(S561:T561)</f>
        <v>0</v>
      </c>
      <c r="S561" s="236"/>
      <c r="T561" s="236"/>
      <c r="U561" s="236">
        <f t="shared" ref="U561:U567" si="220">SUM(V561:Y561)</f>
        <v>0</v>
      </c>
      <c r="V561" s="236"/>
      <c r="W561" s="232">
        <f t="shared" ref="W561:W567" si="221">V561*0.304</f>
        <v>0</v>
      </c>
      <c r="X561" s="236"/>
      <c r="Y561" s="236"/>
      <c r="Z561" s="236"/>
    </row>
    <row r="562" spans="1:26" hidden="1" outlineLevel="2">
      <c r="A562" s="19"/>
      <c r="B562" s="38"/>
      <c r="C562" s="207"/>
      <c r="D562" s="208"/>
      <c r="E562" s="133"/>
      <c r="F562" s="261"/>
      <c r="G562" s="138"/>
      <c r="H562" s="135"/>
      <c r="I562" s="206"/>
      <c r="J562" s="206"/>
      <c r="K562" s="206"/>
      <c r="L562" s="137"/>
      <c r="M562" s="163"/>
      <c r="N562" s="163"/>
      <c r="O562" s="288"/>
      <c r="P562" s="205"/>
      <c r="Q562" s="236">
        <f t="shared" si="218"/>
        <v>0</v>
      </c>
      <c r="R562" s="236">
        <f t="shared" si="219"/>
        <v>0</v>
      </c>
      <c r="S562" s="236"/>
      <c r="T562" s="236"/>
      <c r="U562" s="236">
        <f t="shared" si="220"/>
        <v>0</v>
      </c>
      <c r="V562" s="236"/>
      <c r="W562" s="232">
        <f t="shared" si="221"/>
        <v>0</v>
      </c>
      <c r="X562" s="236"/>
      <c r="Y562" s="236"/>
      <c r="Z562" s="236"/>
    </row>
    <row r="563" spans="1:26" hidden="1" outlineLevel="2">
      <c r="A563" s="19"/>
      <c r="B563" s="38"/>
      <c r="C563" s="207"/>
      <c r="D563" s="208"/>
      <c r="E563" s="133"/>
      <c r="F563" s="261"/>
      <c r="G563" s="138"/>
      <c r="H563" s="135"/>
      <c r="I563" s="206"/>
      <c r="J563" s="206"/>
      <c r="K563" s="206"/>
      <c r="L563" s="137"/>
      <c r="M563" s="163"/>
      <c r="N563" s="163"/>
      <c r="O563" s="288"/>
      <c r="P563" s="205"/>
      <c r="Q563" s="236">
        <f t="shared" si="218"/>
        <v>0</v>
      </c>
      <c r="R563" s="236">
        <f t="shared" si="219"/>
        <v>0</v>
      </c>
      <c r="S563" s="236"/>
      <c r="T563" s="236"/>
      <c r="U563" s="236">
        <f t="shared" si="220"/>
        <v>0</v>
      </c>
      <c r="V563" s="236"/>
      <c r="W563" s="232">
        <f t="shared" si="221"/>
        <v>0</v>
      </c>
      <c r="X563" s="236"/>
      <c r="Y563" s="236"/>
      <c r="Z563" s="236"/>
    </row>
    <row r="564" spans="1:26" hidden="1" outlineLevel="2">
      <c r="A564" s="19"/>
      <c r="B564" s="38"/>
      <c r="C564" s="207"/>
      <c r="D564" s="208"/>
      <c r="E564" s="133"/>
      <c r="F564" s="261"/>
      <c r="G564" s="138"/>
      <c r="H564" s="135"/>
      <c r="I564" s="206"/>
      <c r="J564" s="206"/>
      <c r="K564" s="206"/>
      <c r="L564" s="137"/>
      <c r="M564" s="163"/>
      <c r="N564" s="163"/>
      <c r="O564" s="288"/>
      <c r="P564" s="205"/>
      <c r="Q564" s="236">
        <f t="shared" si="218"/>
        <v>0</v>
      </c>
      <c r="R564" s="236">
        <f t="shared" si="219"/>
        <v>0</v>
      </c>
      <c r="S564" s="236"/>
      <c r="T564" s="236"/>
      <c r="U564" s="236">
        <f t="shared" si="220"/>
        <v>0</v>
      </c>
      <c r="V564" s="236"/>
      <c r="W564" s="232">
        <f t="shared" si="221"/>
        <v>0</v>
      </c>
      <c r="X564" s="236"/>
      <c r="Y564" s="236"/>
      <c r="Z564" s="236"/>
    </row>
    <row r="565" spans="1:26" hidden="1" outlineLevel="2">
      <c r="A565" s="160"/>
      <c r="B565" s="38"/>
      <c r="C565" s="207"/>
      <c r="D565" s="208"/>
      <c r="E565" s="133"/>
      <c r="F565" s="261"/>
      <c r="G565" s="138"/>
      <c r="H565" s="139"/>
      <c r="I565" s="206"/>
      <c r="J565" s="206"/>
      <c r="K565" s="206"/>
      <c r="L565" s="137"/>
      <c r="M565" s="74"/>
      <c r="N565" s="74"/>
      <c r="O565" s="19"/>
      <c r="P565" s="205"/>
      <c r="Q565" s="236">
        <f t="shared" si="218"/>
        <v>0</v>
      </c>
      <c r="R565" s="236">
        <f t="shared" si="219"/>
        <v>0</v>
      </c>
      <c r="S565" s="235"/>
      <c r="T565" s="235"/>
      <c r="U565" s="236">
        <f t="shared" si="220"/>
        <v>0</v>
      </c>
      <c r="V565" s="235"/>
      <c r="W565" s="232">
        <f t="shared" si="221"/>
        <v>0</v>
      </c>
      <c r="X565" s="235"/>
      <c r="Y565" s="235"/>
      <c r="Z565" s="235"/>
    </row>
    <row r="566" spans="1:26" hidden="1" outlineLevel="2">
      <c r="A566" s="160"/>
      <c r="B566" s="38"/>
      <c r="C566" s="207"/>
      <c r="D566" s="208"/>
      <c r="E566" s="133"/>
      <c r="F566" s="261"/>
      <c r="G566" s="138"/>
      <c r="H566" s="139"/>
      <c r="I566" s="206"/>
      <c r="J566" s="206"/>
      <c r="K566" s="206"/>
      <c r="L566" s="137"/>
      <c r="M566" s="74"/>
      <c r="N566" s="19"/>
      <c r="O566" s="19"/>
      <c r="P566" s="205"/>
      <c r="Q566" s="236">
        <f t="shared" si="218"/>
        <v>0</v>
      </c>
      <c r="R566" s="236">
        <f t="shared" si="219"/>
        <v>0</v>
      </c>
      <c r="S566" s="235"/>
      <c r="T566" s="235"/>
      <c r="U566" s="236">
        <f t="shared" si="220"/>
        <v>0</v>
      </c>
      <c r="V566" s="235"/>
      <c r="W566" s="232">
        <f t="shared" si="221"/>
        <v>0</v>
      </c>
      <c r="X566" s="235"/>
      <c r="Y566" s="235"/>
      <c r="Z566" s="235"/>
    </row>
    <row r="567" spans="1:26" hidden="1" outlineLevel="2">
      <c r="A567" s="160"/>
      <c r="B567" s="38"/>
      <c r="C567" s="207"/>
      <c r="D567" s="208"/>
      <c r="E567" s="133"/>
      <c r="F567" s="261"/>
      <c r="G567" s="138"/>
      <c r="H567" s="139"/>
      <c r="I567" s="206"/>
      <c r="J567" s="206"/>
      <c r="K567" s="206"/>
      <c r="L567" s="137"/>
      <c r="M567" s="74"/>
      <c r="N567" s="19"/>
      <c r="O567" s="19"/>
      <c r="P567" s="205"/>
      <c r="Q567" s="236">
        <f t="shared" si="218"/>
        <v>0</v>
      </c>
      <c r="R567" s="236">
        <f>SUM(S567:T567)</f>
        <v>0</v>
      </c>
      <c r="S567" s="235"/>
      <c r="T567" s="235"/>
      <c r="U567" s="236">
        <f t="shared" si="220"/>
        <v>0</v>
      </c>
      <c r="V567" s="235"/>
      <c r="W567" s="232">
        <f t="shared" si="221"/>
        <v>0</v>
      </c>
      <c r="X567" s="235"/>
      <c r="Y567" s="235"/>
      <c r="Z567" s="235"/>
    </row>
    <row r="568" spans="1:26" hidden="1" outlineLevel="2">
      <c r="A568" s="164"/>
      <c r="B568" s="351"/>
      <c r="C568" s="227"/>
      <c r="D568" s="228"/>
      <c r="E568" s="165"/>
      <c r="F568" s="279"/>
      <c r="G568" s="166"/>
      <c r="H568" s="167"/>
      <c r="I568" s="229"/>
      <c r="J568" s="229"/>
      <c r="K568" s="229"/>
      <c r="L568" s="137"/>
      <c r="M568" s="351"/>
      <c r="N568" s="168"/>
      <c r="O568" s="168"/>
      <c r="P568" s="231"/>
      <c r="Q568" s="233"/>
      <c r="R568" s="233"/>
      <c r="S568" s="233"/>
      <c r="T568" s="233"/>
      <c r="U568" s="233"/>
      <c r="V568" s="233"/>
      <c r="W568" s="233"/>
      <c r="X568" s="233"/>
      <c r="Y568" s="233"/>
      <c r="Z568" s="233"/>
    </row>
    <row r="569" spans="1:26" s="75" customFormat="1" outlineLevel="1" collapsed="1">
      <c r="A569" s="237"/>
      <c r="B569" s="238"/>
      <c r="C569" s="239"/>
      <c r="D569" s="240"/>
      <c r="E569" s="241"/>
      <c r="F569" s="264"/>
      <c r="G569" s="242"/>
      <c r="H569" s="243"/>
      <c r="I569" s="244"/>
      <c r="J569" s="244"/>
      <c r="K569" s="244"/>
      <c r="L569" s="150" t="str">
        <f>CONCATENATE(L570," ",N570,M570," ",L571," ",N571,M571," "," ",L572," ",N572,M572," ",L573," ",N573,M573," ",L574," ",N574,M574," ",L575," ",N575,M575," ",L576," ",N576,M576," ",L577," ",N577,M577)</f>
        <v xml:space="preserve">                </v>
      </c>
      <c r="M569" s="243"/>
      <c r="N569" s="243"/>
      <c r="O569" s="287">
        <f>SUM(O570:O577)</f>
        <v>0</v>
      </c>
      <c r="P569" s="245"/>
      <c r="Q569" s="246">
        <f>SUM(Q570:Q577)</f>
        <v>0</v>
      </c>
      <c r="R569" s="246">
        <f t="shared" ref="R569:Y569" si="222">SUM(R570:R577)</f>
        <v>0</v>
      </c>
      <c r="S569" s="246">
        <f t="shared" si="222"/>
        <v>0</v>
      </c>
      <c r="T569" s="246">
        <f t="shared" si="222"/>
        <v>0</v>
      </c>
      <c r="U569" s="246">
        <f t="shared" si="222"/>
        <v>0</v>
      </c>
      <c r="V569" s="246">
        <f t="shared" si="222"/>
        <v>0</v>
      </c>
      <c r="W569" s="246">
        <f t="shared" si="222"/>
        <v>0</v>
      </c>
      <c r="X569" s="246">
        <f t="shared" si="222"/>
        <v>0</v>
      </c>
      <c r="Y569" s="246">
        <f t="shared" si="222"/>
        <v>0</v>
      </c>
      <c r="Z569" s="246">
        <f>SUM(Z570:Z577)</f>
        <v>0</v>
      </c>
    </row>
    <row r="570" spans="1:26" hidden="1" outlineLevel="2">
      <c r="A570" s="19"/>
      <c r="B570" s="38"/>
      <c r="C570" s="207"/>
      <c r="D570" s="208"/>
      <c r="E570" s="133"/>
      <c r="F570" s="261"/>
      <c r="G570" s="138"/>
      <c r="H570" s="135"/>
      <c r="I570" s="206"/>
      <c r="J570" s="206"/>
      <c r="K570" s="206"/>
      <c r="L570" s="137"/>
      <c r="M570" s="163"/>
      <c r="N570" s="163"/>
      <c r="O570" s="288"/>
      <c r="P570" s="205"/>
      <c r="Q570" s="236">
        <f>SUM(R570,U570)</f>
        <v>0</v>
      </c>
      <c r="R570" s="236">
        <f>SUM(S570:T570)</f>
        <v>0</v>
      </c>
      <c r="S570" s="236"/>
      <c r="T570" s="236"/>
      <c r="U570" s="236">
        <f>SUM(V570:Y570)</f>
        <v>0</v>
      </c>
      <c r="V570" s="236"/>
      <c r="W570" s="232">
        <f>V570*0.304</f>
        <v>0</v>
      </c>
      <c r="X570" s="236"/>
      <c r="Y570" s="236"/>
      <c r="Z570" s="236"/>
    </row>
    <row r="571" spans="1:26" hidden="1" outlineLevel="2">
      <c r="A571" s="19"/>
      <c r="B571" s="38"/>
      <c r="C571" s="207"/>
      <c r="D571" s="208"/>
      <c r="E571" s="133"/>
      <c r="F571" s="261"/>
      <c r="G571" s="138"/>
      <c r="H571" s="135"/>
      <c r="I571" s="206"/>
      <c r="J571" s="206"/>
      <c r="K571" s="206"/>
      <c r="L571" s="137"/>
      <c r="M571" s="163"/>
      <c r="N571" s="163"/>
      <c r="O571" s="288"/>
      <c r="P571" s="205"/>
      <c r="Q571" s="236">
        <f t="shared" ref="Q571:Q577" si="223">SUM(R571,U571)</f>
        <v>0</v>
      </c>
      <c r="R571" s="236">
        <f t="shared" ref="R571:R576" si="224">SUM(S571:T571)</f>
        <v>0</v>
      </c>
      <c r="S571" s="236"/>
      <c r="T571" s="236"/>
      <c r="U571" s="236">
        <f t="shared" ref="U571:U577" si="225">SUM(V571:Y571)</f>
        <v>0</v>
      </c>
      <c r="V571" s="236"/>
      <c r="W571" s="232">
        <f t="shared" ref="W571:W577" si="226">V571*0.304</f>
        <v>0</v>
      </c>
      <c r="X571" s="236"/>
      <c r="Y571" s="236"/>
      <c r="Z571" s="236"/>
    </row>
    <row r="572" spans="1:26" hidden="1" outlineLevel="2">
      <c r="A572" s="19"/>
      <c r="B572" s="38"/>
      <c r="C572" s="207"/>
      <c r="D572" s="208"/>
      <c r="E572" s="133"/>
      <c r="F572" s="261"/>
      <c r="G572" s="138"/>
      <c r="H572" s="135"/>
      <c r="I572" s="206"/>
      <c r="J572" s="206"/>
      <c r="K572" s="206"/>
      <c r="L572" s="137"/>
      <c r="M572" s="163"/>
      <c r="N572" s="163"/>
      <c r="O572" s="288"/>
      <c r="P572" s="205"/>
      <c r="Q572" s="236">
        <f t="shared" si="223"/>
        <v>0</v>
      </c>
      <c r="R572" s="236">
        <f t="shared" si="224"/>
        <v>0</v>
      </c>
      <c r="S572" s="236"/>
      <c r="T572" s="236"/>
      <c r="U572" s="236">
        <f t="shared" si="225"/>
        <v>0</v>
      </c>
      <c r="V572" s="236"/>
      <c r="W572" s="232">
        <f t="shared" si="226"/>
        <v>0</v>
      </c>
      <c r="X572" s="236"/>
      <c r="Y572" s="236"/>
      <c r="Z572" s="236"/>
    </row>
    <row r="573" spans="1:26" hidden="1" outlineLevel="2">
      <c r="A573" s="19"/>
      <c r="B573" s="38"/>
      <c r="C573" s="207"/>
      <c r="D573" s="208"/>
      <c r="E573" s="133"/>
      <c r="F573" s="261"/>
      <c r="G573" s="138"/>
      <c r="H573" s="135"/>
      <c r="I573" s="206"/>
      <c r="J573" s="206"/>
      <c r="K573" s="206"/>
      <c r="L573" s="137"/>
      <c r="M573" s="163"/>
      <c r="N573" s="163"/>
      <c r="O573" s="288"/>
      <c r="P573" s="205"/>
      <c r="Q573" s="236">
        <f t="shared" si="223"/>
        <v>0</v>
      </c>
      <c r="R573" s="236">
        <f t="shared" si="224"/>
        <v>0</v>
      </c>
      <c r="S573" s="236"/>
      <c r="T573" s="236"/>
      <c r="U573" s="236">
        <f t="shared" si="225"/>
        <v>0</v>
      </c>
      <c r="V573" s="236"/>
      <c r="W573" s="232">
        <f t="shared" si="226"/>
        <v>0</v>
      </c>
      <c r="X573" s="236"/>
      <c r="Y573" s="236"/>
      <c r="Z573" s="236"/>
    </row>
    <row r="574" spans="1:26" hidden="1" outlineLevel="2">
      <c r="A574" s="19"/>
      <c r="B574" s="38"/>
      <c r="C574" s="207"/>
      <c r="D574" s="208"/>
      <c r="E574" s="133"/>
      <c r="F574" s="261"/>
      <c r="G574" s="138"/>
      <c r="H574" s="135"/>
      <c r="I574" s="206"/>
      <c r="J574" s="206"/>
      <c r="K574" s="206"/>
      <c r="L574" s="137"/>
      <c r="M574" s="163"/>
      <c r="N574" s="163"/>
      <c r="O574" s="288"/>
      <c r="P574" s="205"/>
      <c r="Q574" s="236">
        <f t="shared" si="223"/>
        <v>0</v>
      </c>
      <c r="R574" s="236">
        <f t="shared" si="224"/>
        <v>0</v>
      </c>
      <c r="S574" s="236"/>
      <c r="T574" s="236"/>
      <c r="U574" s="236">
        <f t="shared" si="225"/>
        <v>0</v>
      </c>
      <c r="V574" s="236"/>
      <c r="W574" s="232">
        <f t="shared" si="226"/>
        <v>0</v>
      </c>
      <c r="X574" s="236"/>
      <c r="Y574" s="236"/>
      <c r="Z574" s="236"/>
    </row>
    <row r="575" spans="1:26" hidden="1" outlineLevel="2">
      <c r="A575" s="160"/>
      <c r="B575" s="38"/>
      <c r="C575" s="207"/>
      <c r="D575" s="208"/>
      <c r="E575" s="133"/>
      <c r="F575" s="261"/>
      <c r="G575" s="138"/>
      <c r="H575" s="139"/>
      <c r="I575" s="206"/>
      <c r="J575" s="206"/>
      <c r="K575" s="206"/>
      <c r="L575" s="137"/>
      <c r="M575" s="74"/>
      <c r="N575" s="74"/>
      <c r="O575" s="19"/>
      <c r="P575" s="205"/>
      <c r="Q575" s="236">
        <f t="shared" si="223"/>
        <v>0</v>
      </c>
      <c r="R575" s="236">
        <f t="shared" si="224"/>
        <v>0</v>
      </c>
      <c r="S575" s="235"/>
      <c r="T575" s="235"/>
      <c r="U575" s="236">
        <f t="shared" si="225"/>
        <v>0</v>
      </c>
      <c r="V575" s="235"/>
      <c r="W575" s="232">
        <f t="shared" si="226"/>
        <v>0</v>
      </c>
      <c r="X575" s="235"/>
      <c r="Y575" s="235"/>
      <c r="Z575" s="235"/>
    </row>
    <row r="576" spans="1:26" hidden="1" outlineLevel="2">
      <c r="A576" s="160"/>
      <c r="B576" s="38"/>
      <c r="C576" s="207"/>
      <c r="D576" s="208"/>
      <c r="E576" s="133"/>
      <c r="F576" s="261"/>
      <c r="G576" s="138"/>
      <c r="H576" s="139"/>
      <c r="I576" s="206"/>
      <c r="J576" s="206"/>
      <c r="K576" s="206"/>
      <c r="L576" s="137"/>
      <c r="M576" s="74"/>
      <c r="N576" s="19"/>
      <c r="O576" s="19"/>
      <c r="P576" s="205"/>
      <c r="Q576" s="236">
        <f t="shared" si="223"/>
        <v>0</v>
      </c>
      <c r="R576" s="236">
        <f t="shared" si="224"/>
        <v>0</v>
      </c>
      <c r="S576" s="235"/>
      <c r="T576" s="235"/>
      <c r="U576" s="236">
        <f t="shared" si="225"/>
        <v>0</v>
      </c>
      <c r="V576" s="235"/>
      <c r="W576" s="232">
        <f t="shared" si="226"/>
        <v>0</v>
      </c>
      <c r="X576" s="235"/>
      <c r="Y576" s="235"/>
      <c r="Z576" s="235"/>
    </row>
    <row r="577" spans="1:26" hidden="1" outlineLevel="2">
      <c r="A577" s="160"/>
      <c r="B577" s="38"/>
      <c r="C577" s="207"/>
      <c r="D577" s="208"/>
      <c r="E577" s="133"/>
      <c r="F577" s="261"/>
      <c r="G577" s="138"/>
      <c r="H577" s="139"/>
      <c r="I577" s="206"/>
      <c r="J577" s="206"/>
      <c r="K577" s="206"/>
      <c r="L577" s="137"/>
      <c r="M577" s="74"/>
      <c r="N577" s="19"/>
      <c r="O577" s="19"/>
      <c r="P577" s="205"/>
      <c r="Q577" s="236">
        <f t="shared" si="223"/>
        <v>0</v>
      </c>
      <c r="R577" s="236">
        <f>SUM(S577:T577)</f>
        <v>0</v>
      </c>
      <c r="S577" s="235"/>
      <c r="T577" s="235"/>
      <c r="U577" s="236">
        <f t="shared" si="225"/>
        <v>0</v>
      </c>
      <c r="V577" s="235"/>
      <c r="W577" s="232">
        <f t="shared" si="226"/>
        <v>0</v>
      </c>
      <c r="X577" s="235"/>
      <c r="Y577" s="235"/>
      <c r="Z577" s="235"/>
    </row>
    <row r="578" spans="1:26" hidden="1" outlineLevel="2">
      <c r="A578" s="164"/>
      <c r="B578" s="351"/>
      <c r="C578" s="227"/>
      <c r="D578" s="228"/>
      <c r="E578" s="165"/>
      <c r="F578" s="279"/>
      <c r="G578" s="166"/>
      <c r="H578" s="167"/>
      <c r="I578" s="229"/>
      <c r="J578" s="229"/>
      <c r="K578" s="229"/>
      <c r="L578" s="137"/>
      <c r="M578" s="351"/>
      <c r="N578" s="168"/>
      <c r="O578" s="168"/>
      <c r="P578" s="231"/>
      <c r="Q578" s="233"/>
      <c r="R578" s="233"/>
      <c r="S578" s="233"/>
      <c r="T578" s="233"/>
      <c r="U578" s="233"/>
      <c r="V578" s="233"/>
      <c r="W578" s="233"/>
      <c r="X578" s="233"/>
      <c r="Y578" s="233"/>
      <c r="Z578" s="233"/>
    </row>
    <row r="579" spans="1:26" s="75" customFormat="1" outlineLevel="1" collapsed="1">
      <c r="A579" s="237"/>
      <c r="B579" s="238"/>
      <c r="C579" s="239"/>
      <c r="D579" s="240"/>
      <c r="E579" s="241"/>
      <c r="F579" s="264"/>
      <c r="G579" s="242"/>
      <c r="H579" s="243"/>
      <c r="I579" s="244"/>
      <c r="J579" s="244"/>
      <c r="K579" s="244"/>
      <c r="L579" s="150" t="str">
        <f>CONCATENATE(L580," ",N580,M580," ",L581," ",N581,M581," "," ",L582," ",N582,M582," ",L583," ",N583,M583," ",L584," ",N584,M584," ",L585," ",N585,M585," ",L586," ",N586,M586," ",L587," ",N587,M587)</f>
        <v xml:space="preserve">                </v>
      </c>
      <c r="M579" s="243"/>
      <c r="N579" s="243"/>
      <c r="O579" s="287">
        <f>SUM(O580:O587)</f>
        <v>0</v>
      </c>
      <c r="P579" s="245"/>
      <c r="Q579" s="246">
        <f>SUM(Q580:Q587)</f>
        <v>0</v>
      </c>
      <c r="R579" s="246">
        <f t="shared" ref="R579:Y579" si="227">SUM(R580:R587)</f>
        <v>0</v>
      </c>
      <c r="S579" s="246">
        <f t="shared" si="227"/>
        <v>0</v>
      </c>
      <c r="T579" s="246">
        <f t="shared" si="227"/>
        <v>0</v>
      </c>
      <c r="U579" s="246">
        <f t="shared" si="227"/>
        <v>0</v>
      </c>
      <c r="V579" s="246">
        <f t="shared" si="227"/>
        <v>0</v>
      </c>
      <c r="W579" s="246">
        <f t="shared" si="227"/>
        <v>0</v>
      </c>
      <c r="X579" s="246">
        <f t="shared" si="227"/>
        <v>0</v>
      </c>
      <c r="Y579" s="246">
        <f t="shared" si="227"/>
        <v>0</v>
      </c>
      <c r="Z579" s="246">
        <f>SUM(Z580:Z587)</f>
        <v>0</v>
      </c>
    </row>
    <row r="580" spans="1:26" hidden="1" outlineLevel="2">
      <c r="A580" s="19"/>
      <c r="B580" s="38"/>
      <c r="C580" s="207"/>
      <c r="D580" s="208"/>
      <c r="E580" s="133"/>
      <c r="F580" s="261"/>
      <c r="G580" s="138"/>
      <c r="H580" s="135"/>
      <c r="I580" s="206"/>
      <c r="J580" s="206"/>
      <c r="K580" s="206"/>
      <c r="L580" s="137"/>
      <c r="M580" s="163"/>
      <c r="N580" s="163"/>
      <c r="O580" s="288"/>
      <c r="P580" s="205"/>
      <c r="Q580" s="236">
        <f>SUM(R580,U580)</f>
        <v>0</v>
      </c>
      <c r="R580" s="236">
        <f>SUM(S580:T580)</f>
        <v>0</v>
      </c>
      <c r="S580" s="236"/>
      <c r="T580" s="236"/>
      <c r="U580" s="236">
        <f>SUM(V580:Y580)</f>
        <v>0</v>
      </c>
      <c r="V580" s="236"/>
      <c r="W580" s="232">
        <f>V580*0.304</f>
        <v>0</v>
      </c>
      <c r="X580" s="236"/>
      <c r="Y580" s="236"/>
      <c r="Z580" s="236"/>
    </row>
    <row r="581" spans="1:26" hidden="1" outlineLevel="2">
      <c r="A581" s="19"/>
      <c r="B581" s="38"/>
      <c r="C581" s="207"/>
      <c r="D581" s="208"/>
      <c r="E581" s="133"/>
      <c r="F581" s="261"/>
      <c r="G581" s="138"/>
      <c r="H581" s="135"/>
      <c r="I581" s="206"/>
      <c r="J581" s="206"/>
      <c r="K581" s="206"/>
      <c r="L581" s="137"/>
      <c r="M581" s="163"/>
      <c r="N581" s="163"/>
      <c r="O581" s="288"/>
      <c r="P581" s="205"/>
      <c r="Q581" s="236">
        <f t="shared" ref="Q581:Q587" si="228">SUM(R581,U581)</f>
        <v>0</v>
      </c>
      <c r="R581" s="236">
        <f t="shared" ref="R581:R586" si="229">SUM(S581:T581)</f>
        <v>0</v>
      </c>
      <c r="S581" s="236"/>
      <c r="T581" s="236"/>
      <c r="U581" s="236">
        <f t="shared" ref="U581:U587" si="230">SUM(V581:Y581)</f>
        <v>0</v>
      </c>
      <c r="V581" s="236"/>
      <c r="W581" s="232">
        <f t="shared" ref="W581:W587" si="231">V581*0.304</f>
        <v>0</v>
      </c>
      <c r="X581" s="236"/>
      <c r="Y581" s="236"/>
      <c r="Z581" s="236"/>
    </row>
    <row r="582" spans="1:26" hidden="1" outlineLevel="2">
      <c r="A582" s="19"/>
      <c r="B582" s="38"/>
      <c r="C582" s="207"/>
      <c r="D582" s="208"/>
      <c r="E582" s="133"/>
      <c r="F582" s="261"/>
      <c r="G582" s="138"/>
      <c r="H582" s="135"/>
      <c r="I582" s="206"/>
      <c r="J582" s="206"/>
      <c r="K582" s="206"/>
      <c r="L582" s="137"/>
      <c r="M582" s="163"/>
      <c r="N582" s="163"/>
      <c r="O582" s="288"/>
      <c r="P582" s="205"/>
      <c r="Q582" s="236">
        <f t="shared" si="228"/>
        <v>0</v>
      </c>
      <c r="R582" s="236">
        <f t="shared" si="229"/>
        <v>0</v>
      </c>
      <c r="S582" s="236"/>
      <c r="T582" s="236"/>
      <c r="U582" s="236">
        <f t="shared" si="230"/>
        <v>0</v>
      </c>
      <c r="V582" s="236"/>
      <c r="W582" s="232">
        <f t="shared" si="231"/>
        <v>0</v>
      </c>
      <c r="X582" s="236"/>
      <c r="Y582" s="236"/>
      <c r="Z582" s="236"/>
    </row>
    <row r="583" spans="1:26" hidden="1" outlineLevel="2">
      <c r="A583" s="19"/>
      <c r="B583" s="38"/>
      <c r="C583" s="207"/>
      <c r="D583" s="208"/>
      <c r="E583" s="133"/>
      <c r="F583" s="261"/>
      <c r="G583" s="138"/>
      <c r="H583" s="135"/>
      <c r="I583" s="206"/>
      <c r="J583" s="206"/>
      <c r="K583" s="206"/>
      <c r="L583" s="137"/>
      <c r="M583" s="163"/>
      <c r="N583" s="163"/>
      <c r="O583" s="288"/>
      <c r="P583" s="205"/>
      <c r="Q583" s="236">
        <f t="shared" si="228"/>
        <v>0</v>
      </c>
      <c r="R583" s="236">
        <f t="shared" si="229"/>
        <v>0</v>
      </c>
      <c r="S583" s="236"/>
      <c r="T583" s="236"/>
      <c r="U583" s="236">
        <f t="shared" si="230"/>
        <v>0</v>
      </c>
      <c r="V583" s="236"/>
      <c r="W583" s="232">
        <f t="shared" si="231"/>
        <v>0</v>
      </c>
      <c r="X583" s="236"/>
      <c r="Y583" s="236"/>
      <c r="Z583" s="236"/>
    </row>
    <row r="584" spans="1:26" hidden="1" outlineLevel="2">
      <c r="A584" s="19"/>
      <c r="B584" s="38"/>
      <c r="C584" s="207"/>
      <c r="D584" s="208"/>
      <c r="E584" s="133"/>
      <c r="F584" s="261"/>
      <c r="G584" s="138"/>
      <c r="H584" s="135"/>
      <c r="I584" s="206"/>
      <c r="J584" s="206"/>
      <c r="K584" s="206"/>
      <c r="L584" s="137"/>
      <c r="M584" s="163"/>
      <c r="N584" s="163"/>
      <c r="O584" s="288"/>
      <c r="P584" s="205"/>
      <c r="Q584" s="236">
        <f t="shared" si="228"/>
        <v>0</v>
      </c>
      <c r="R584" s="236">
        <f t="shared" si="229"/>
        <v>0</v>
      </c>
      <c r="S584" s="236"/>
      <c r="T584" s="236"/>
      <c r="U584" s="236">
        <f t="shared" si="230"/>
        <v>0</v>
      </c>
      <c r="V584" s="236"/>
      <c r="W584" s="232">
        <f t="shared" si="231"/>
        <v>0</v>
      </c>
      <c r="X584" s="236"/>
      <c r="Y584" s="236"/>
      <c r="Z584" s="236"/>
    </row>
    <row r="585" spans="1:26" hidden="1" outlineLevel="2">
      <c r="A585" s="160"/>
      <c r="B585" s="38"/>
      <c r="C585" s="207"/>
      <c r="D585" s="208"/>
      <c r="E585" s="133"/>
      <c r="F585" s="261"/>
      <c r="G585" s="138"/>
      <c r="H585" s="139"/>
      <c r="I585" s="206"/>
      <c r="J585" s="206"/>
      <c r="K585" s="206"/>
      <c r="L585" s="137"/>
      <c r="M585" s="74"/>
      <c r="N585" s="74"/>
      <c r="O585" s="19"/>
      <c r="P585" s="205"/>
      <c r="Q585" s="236">
        <f t="shared" si="228"/>
        <v>0</v>
      </c>
      <c r="R585" s="236">
        <f t="shared" si="229"/>
        <v>0</v>
      </c>
      <c r="S585" s="235"/>
      <c r="T585" s="235"/>
      <c r="U585" s="236">
        <f t="shared" si="230"/>
        <v>0</v>
      </c>
      <c r="V585" s="235"/>
      <c r="W585" s="232">
        <f t="shared" si="231"/>
        <v>0</v>
      </c>
      <c r="X585" s="235"/>
      <c r="Y585" s="235"/>
      <c r="Z585" s="235"/>
    </row>
    <row r="586" spans="1:26" hidden="1" outlineLevel="2">
      <c r="A586" s="160"/>
      <c r="B586" s="38"/>
      <c r="C586" s="207"/>
      <c r="D586" s="208"/>
      <c r="E586" s="133"/>
      <c r="F586" s="261"/>
      <c r="G586" s="138"/>
      <c r="H586" s="139"/>
      <c r="I586" s="206"/>
      <c r="J586" s="206"/>
      <c r="K586" s="206"/>
      <c r="L586" s="137"/>
      <c r="M586" s="74"/>
      <c r="N586" s="19"/>
      <c r="O586" s="19"/>
      <c r="P586" s="205"/>
      <c r="Q586" s="236">
        <f t="shared" si="228"/>
        <v>0</v>
      </c>
      <c r="R586" s="236">
        <f t="shared" si="229"/>
        <v>0</v>
      </c>
      <c r="S586" s="235"/>
      <c r="T586" s="235"/>
      <c r="U586" s="236">
        <f t="shared" si="230"/>
        <v>0</v>
      </c>
      <c r="V586" s="235"/>
      <c r="W586" s="232">
        <f t="shared" si="231"/>
        <v>0</v>
      </c>
      <c r="X586" s="235"/>
      <c r="Y586" s="235"/>
      <c r="Z586" s="235"/>
    </row>
    <row r="587" spans="1:26" hidden="1" outlineLevel="2">
      <c r="A587" s="160"/>
      <c r="B587" s="38"/>
      <c r="C587" s="207"/>
      <c r="D587" s="208"/>
      <c r="E587" s="133"/>
      <c r="F587" s="261"/>
      <c r="G587" s="138"/>
      <c r="H587" s="139"/>
      <c r="I587" s="206"/>
      <c r="J587" s="206"/>
      <c r="K587" s="206"/>
      <c r="L587" s="137"/>
      <c r="M587" s="74"/>
      <c r="N587" s="19"/>
      <c r="O587" s="19"/>
      <c r="P587" s="205"/>
      <c r="Q587" s="236">
        <f t="shared" si="228"/>
        <v>0</v>
      </c>
      <c r="R587" s="236">
        <f>SUM(S587:T587)</f>
        <v>0</v>
      </c>
      <c r="S587" s="235"/>
      <c r="T587" s="235"/>
      <c r="U587" s="236">
        <f t="shared" si="230"/>
        <v>0</v>
      </c>
      <c r="V587" s="235"/>
      <c r="W587" s="232">
        <f t="shared" si="231"/>
        <v>0</v>
      </c>
      <c r="X587" s="235"/>
      <c r="Y587" s="235"/>
      <c r="Z587" s="235"/>
    </row>
    <row r="588" spans="1:26" hidden="1" outlineLevel="2">
      <c r="A588" s="164"/>
      <c r="B588" s="351"/>
      <c r="C588" s="227"/>
      <c r="D588" s="228"/>
      <c r="E588" s="165"/>
      <c r="F588" s="279"/>
      <c r="G588" s="166"/>
      <c r="H588" s="167"/>
      <c r="I588" s="229"/>
      <c r="J588" s="229"/>
      <c r="K588" s="229"/>
      <c r="L588" s="137"/>
      <c r="M588" s="351"/>
      <c r="N588" s="168"/>
      <c r="O588" s="168"/>
      <c r="P588" s="231"/>
      <c r="Q588" s="233"/>
      <c r="R588" s="233"/>
      <c r="S588" s="233"/>
      <c r="T588" s="233"/>
      <c r="U588" s="233"/>
      <c r="V588" s="233"/>
      <c r="W588" s="233"/>
      <c r="X588" s="233"/>
      <c r="Y588" s="233"/>
      <c r="Z588" s="233"/>
    </row>
    <row r="589" spans="1:26" s="75" customFormat="1" outlineLevel="1" collapsed="1">
      <c r="A589" s="237"/>
      <c r="B589" s="238"/>
      <c r="C589" s="239"/>
      <c r="D589" s="240"/>
      <c r="E589" s="241"/>
      <c r="F589" s="264"/>
      <c r="G589" s="242"/>
      <c r="H589" s="243"/>
      <c r="I589" s="244"/>
      <c r="J589" s="244"/>
      <c r="K589" s="244"/>
      <c r="L589" s="150" t="str">
        <f>CONCATENATE(L590," ",N590,M590," ",L591," ",N591,M591," "," ",L592," ",N592,M592," ",L593," ",N593,M593," ",L594," ",N594,M594," ",L595," ",N595,M595," ",L596," ",N596,M596," ",L597," ",N597,M597)</f>
        <v xml:space="preserve">                </v>
      </c>
      <c r="M589" s="243"/>
      <c r="N589" s="243"/>
      <c r="O589" s="287">
        <f>SUM(O590:O597)</f>
        <v>0</v>
      </c>
      <c r="P589" s="245"/>
      <c r="Q589" s="246">
        <f>SUM(Q590:Q597)</f>
        <v>0</v>
      </c>
      <c r="R589" s="246">
        <f t="shared" ref="R589:Y589" si="232">SUM(R590:R597)</f>
        <v>0</v>
      </c>
      <c r="S589" s="246">
        <f t="shared" si="232"/>
        <v>0</v>
      </c>
      <c r="T589" s="246">
        <f t="shared" si="232"/>
        <v>0</v>
      </c>
      <c r="U589" s="246">
        <f t="shared" si="232"/>
        <v>0</v>
      </c>
      <c r="V589" s="246">
        <f t="shared" si="232"/>
        <v>0</v>
      </c>
      <c r="W589" s="246">
        <f t="shared" si="232"/>
        <v>0</v>
      </c>
      <c r="X589" s="246">
        <f t="shared" si="232"/>
        <v>0</v>
      </c>
      <c r="Y589" s="246">
        <f t="shared" si="232"/>
        <v>0</v>
      </c>
      <c r="Z589" s="246">
        <f>SUM(Z590:Z597)</f>
        <v>0</v>
      </c>
    </row>
    <row r="590" spans="1:26" hidden="1" outlineLevel="2">
      <c r="A590" s="19"/>
      <c r="B590" s="38"/>
      <c r="C590" s="207"/>
      <c r="D590" s="208"/>
      <c r="E590" s="133"/>
      <c r="F590" s="261"/>
      <c r="G590" s="138"/>
      <c r="H590" s="135"/>
      <c r="I590" s="206"/>
      <c r="J590" s="206"/>
      <c r="K590" s="206"/>
      <c r="L590" s="137"/>
      <c r="M590" s="163"/>
      <c r="N590" s="163"/>
      <c r="O590" s="288"/>
      <c r="P590" s="205"/>
      <c r="Q590" s="236">
        <f>SUM(R590,U590)</f>
        <v>0</v>
      </c>
      <c r="R590" s="236">
        <f>SUM(S590:T590)</f>
        <v>0</v>
      </c>
      <c r="S590" s="236"/>
      <c r="T590" s="236"/>
      <c r="U590" s="236">
        <f>SUM(V590:Y590)</f>
        <v>0</v>
      </c>
      <c r="V590" s="236"/>
      <c r="W590" s="232">
        <f>V590*0.304</f>
        <v>0</v>
      </c>
      <c r="X590" s="236"/>
      <c r="Y590" s="236"/>
      <c r="Z590" s="236"/>
    </row>
    <row r="591" spans="1:26" hidden="1" outlineLevel="2">
      <c r="A591" s="19"/>
      <c r="B591" s="38"/>
      <c r="C591" s="207"/>
      <c r="D591" s="208"/>
      <c r="E591" s="133"/>
      <c r="F591" s="261"/>
      <c r="G591" s="138"/>
      <c r="H591" s="135"/>
      <c r="I591" s="206"/>
      <c r="J591" s="206"/>
      <c r="K591" s="206"/>
      <c r="L591" s="137"/>
      <c r="M591" s="163"/>
      <c r="N591" s="163"/>
      <c r="O591" s="288"/>
      <c r="P591" s="205"/>
      <c r="Q591" s="236">
        <f t="shared" ref="Q591:Q597" si="233">SUM(R591,U591)</f>
        <v>0</v>
      </c>
      <c r="R591" s="236">
        <f t="shared" ref="R591:R596" si="234">SUM(S591:T591)</f>
        <v>0</v>
      </c>
      <c r="S591" s="236"/>
      <c r="T591" s="236"/>
      <c r="U591" s="236">
        <f t="shared" ref="U591:U597" si="235">SUM(V591:Y591)</f>
        <v>0</v>
      </c>
      <c r="V591" s="236"/>
      <c r="W591" s="232">
        <f t="shared" ref="W591:W597" si="236">V591*0.304</f>
        <v>0</v>
      </c>
      <c r="X591" s="236"/>
      <c r="Y591" s="236"/>
      <c r="Z591" s="236"/>
    </row>
    <row r="592" spans="1:26" hidden="1" outlineLevel="2">
      <c r="A592" s="19"/>
      <c r="B592" s="38"/>
      <c r="C592" s="207"/>
      <c r="D592" s="208"/>
      <c r="E592" s="133"/>
      <c r="F592" s="261"/>
      <c r="G592" s="138"/>
      <c r="H592" s="135"/>
      <c r="I592" s="206"/>
      <c r="J592" s="206"/>
      <c r="K592" s="206"/>
      <c r="L592" s="137"/>
      <c r="M592" s="163"/>
      <c r="N592" s="163"/>
      <c r="O592" s="288"/>
      <c r="P592" s="205"/>
      <c r="Q592" s="236">
        <f t="shared" si="233"/>
        <v>0</v>
      </c>
      <c r="R592" s="236">
        <f t="shared" si="234"/>
        <v>0</v>
      </c>
      <c r="S592" s="236"/>
      <c r="T592" s="236"/>
      <c r="U592" s="236">
        <f t="shared" si="235"/>
        <v>0</v>
      </c>
      <c r="V592" s="236"/>
      <c r="W592" s="232">
        <f t="shared" si="236"/>
        <v>0</v>
      </c>
      <c r="X592" s="236"/>
      <c r="Y592" s="236"/>
      <c r="Z592" s="236"/>
    </row>
    <row r="593" spans="1:26" hidden="1" outlineLevel="2">
      <c r="A593" s="19"/>
      <c r="B593" s="38"/>
      <c r="C593" s="207"/>
      <c r="D593" s="208"/>
      <c r="E593" s="133"/>
      <c r="F593" s="261"/>
      <c r="G593" s="138"/>
      <c r="H593" s="135"/>
      <c r="I593" s="206"/>
      <c r="J593" s="206"/>
      <c r="K593" s="206"/>
      <c r="L593" s="137"/>
      <c r="M593" s="163"/>
      <c r="N593" s="163"/>
      <c r="O593" s="288"/>
      <c r="P593" s="205"/>
      <c r="Q593" s="236">
        <f t="shared" si="233"/>
        <v>0</v>
      </c>
      <c r="R593" s="236">
        <f t="shared" si="234"/>
        <v>0</v>
      </c>
      <c r="S593" s="236"/>
      <c r="T593" s="236"/>
      <c r="U593" s="236">
        <f t="shared" si="235"/>
        <v>0</v>
      </c>
      <c r="V593" s="236"/>
      <c r="W593" s="232">
        <f t="shared" si="236"/>
        <v>0</v>
      </c>
      <c r="X593" s="236"/>
      <c r="Y593" s="236"/>
      <c r="Z593" s="236"/>
    </row>
    <row r="594" spans="1:26" hidden="1" outlineLevel="2">
      <c r="A594" s="19"/>
      <c r="B594" s="38"/>
      <c r="C594" s="207"/>
      <c r="D594" s="208"/>
      <c r="E594" s="133"/>
      <c r="F594" s="261"/>
      <c r="G594" s="138"/>
      <c r="H594" s="135"/>
      <c r="I594" s="206"/>
      <c r="J594" s="206"/>
      <c r="K594" s="206"/>
      <c r="L594" s="137"/>
      <c r="M594" s="163"/>
      <c r="N594" s="163"/>
      <c r="O594" s="288"/>
      <c r="P594" s="205"/>
      <c r="Q594" s="236">
        <f t="shared" si="233"/>
        <v>0</v>
      </c>
      <c r="R594" s="236">
        <f t="shared" si="234"/>
        <v>0</v>
      </c>
      <c r="S594" s="236"/>
      <c r="T594" s="236"/>
      <c r="U594" s="236">
        <f t="shared" si="235"/>
        <v>0</v>
      </c>
      <c r="V594" s="236"/>
      <c r="W594" s="232">
        <f t="shared" si="236"/>
        <v>0</v>
      </c>
      <c r="X594" s="236"/>
      <c r="Y594" s="236"/>
      <c r="Z594" s="236"/>
    </row>
    <row r="595" spans="1:26" hidden="1" outlineLevel="2">
      <c r="A595" s="160"/>
      <c r="B595" s="38"/>
      <c r="C595" s="207"/>
      <c r="D595" s="208"/>
      <c r="E595" s="133"/>
      <c r="F595" s="261"/>
      <c r="G595" s="138"/>
      <c r="H595" s="139"/>
      <c r="I595" s="206"/>
      <c r="J595" s="206"/>
      <c r="K595" s="206"/>
      <c r="L595" s="137"/>
      <c r="M595" s="74"/>
      <c r="N595" s="74"/>
      <c r="O595" s="19"/>
      <c r="P595" s="205"/>
      <c r="Q595" s="236">
        <f t="shared" si="233"/>
        <v>0</v>
      </c>
      <c r="R595" s="236">
        <f t="shared" si="234"/>
        <v>0</v>
      </c>
      <c r="S595" s="235"/>
      <c r="T595" s="235"/>
      <c r="U595" s="236">
        <f t="shared" si="235"/>
        <v>0</v>
      </c>
      <c r="V595" s="235"/>
      <c r="W595" s="232">
        <f t="shared" si="236"/>
        <v>0</v>
      </c>
      <c r="X595" s="235"/>
      <c r="Y595" s="235"/>
      <c r="Z595" s="235"/>
    </row>
    <row r="596" spans="1:26" hidden="1" outlineLevel="2">
      <c r="A596" s="160"/>
      <c r="B596" s="38"/>
      <c r="C596" s="207"/>
      <c r="D596" s="208"/>
      <c r="E596" s="133"/>
      <c r="F596" s="261"/>
      <c r="G596" s="138"/>
      <c r="H596" s="139"/>
      <c r="I596" s="206"/>
      <c r="J596" s="206"/>
      <c r="K596" s="206"/>
      <c r="L596" s="137"/>
      <c r="M596" s="74"/>
      <c r="N596" s="19"/>
      <c r="O596" s="19"/>
      <c r="P596" s="205"/>
      <c r="Q596" s="236">
        <f t="shared" si="233"/>
        <v>0</v>
      </c>
      <c r="R596" s="236">
        <f t="shared" si="234"/>
        <v>0</v>
      </c>
      <c r="S596" s="235"/>
      <c r="T596" s="235"/>
      <c r="U596" s="236">
        <f t="shared" si="235"/>
        <v>0</v>
      </c>
      <c r="V596" s="235"/>
      <c r="W596" s="232">
        <f t="shared" si="236"/>
        <v>0</v>
      </c>
      <c r="X596" s="235"/>
      <c r="Y596" s="235"/>
      <c r="Z596" s="235"/>
    </row>
    <row r="597" spans="1:26" hidden="1" outlineLevel="2">
      <c r="A597" s="160"/>
      <c r="B597" s="38"/>
      <c r="C597" s="207"/>
      <c r="D597" s="208"/>
      <c r="E597" s="133"/>
      <c r="F597" s="261"/>
      <c r="G597" s="138"/>
      <c r="H597" s="139"/>
      <c r="I597" s="206"/>
      <c r="J597" s="206"/>
      <c r="K597" s="206"/>
      <c r="L597" s="137"/>
      <c r="M597" s="74"/>
      <c r="N597" s="19"/>
      <c r="O597" s="19"/>
      <c r="P597" s="205"/>
      <c r="Q597" s="236">
        <f t="shared" si="233"/>
        <v>0</v>
      </c>
      <c r="R597" s="236">
        <f>SUM(S597:T597)</f>
        <v>0</v>
      </c>
      <c r="S597" s="235"/>
      <c r="T597" s="235"/>
      <c r="U597" s="236">
        <f t="shared" si="235"/>
        <v>0</v>
      </c>
      <c r="V597" s="235"/>
      <c r="W597" s="232">
        <f t="shared" si="236"/>
        <v>0</v>
      </c>
      <c r="X597" s="235"/>
      <c r="Y597" s="235"/>
      <c r="Z597" s="235"/>
    </row>
    <row r="598" spans="1:26" hidden="1" outlineLevel="2">
      <c r="A598" s="164"/>
      <c r="B598" s="351"/>
      <c r="C598" s="227"/>
      <c r="D598" s="228"/>
      <c r="E598" s="165"/>
      <c r="F598" s="279"/>
      <c r="G598" s="166"/>
      <c r="H598" s="167"/>
      <c r="I598" s="229"/>
      <c r="J598" s="229"/>
      <c r="K598" s="229"/>
      <c r="L598" s="137"/>
      <c r="M598" s="351"/>
      <c r="N598" s="168"/>
      <c r="O598" s="168"/>
      <c r="P598" s="231"/>
      <c r="Q598" s="233"/>
      <c r="R598" s="233"/>
      <c r="S598" s="233"/>
      <c r="T598" s="233"/>
      <c r="U598" s="233"/>
      <c r="V598" s="233"/>
      <c r="W598" s="233"/>
      <c r="X598" s="233"/>
      <c r="Y598" s="233"/>
      <c r="Z598" s="233"/>
    </row>
    <row r="599" spans="1:26" s="75" customFormat="1" outlineLevel="1" collapsed="1">
      <c r="A599" s="237"/>
      <c r="B599" s="238"/>
      <c r="C599" s="239"/>
      <c r="D599" s="240"/>
      <c r="E599" s="241"/>
      <c r="F599" s="264"/>
      <c r="G599" s="242"/>
      <c r="H599" s="243"/>
      <c r="I599" s="244"/>
      <c r="J599" s="244"/>
      <c r="K599" s="244"/>
      <c r="L599" s="150" t="str">
        <f>CONCATENATE(L600," ",N600,M600," ",L601," ",N601,M601," "," ",L602," ",N602,M602," ",L603," ",N603,M603," ",L604," ",N604,M604," ",L605," ",N605,M605," ",L606," ",N606,M606," ",L607," ",N607,M607)</f>
        <v xml:space="preserve">                </v>
      </c>
      <c r="M599" s="243"/>
      <c r="N599" s="243"/>
      <c r="O599" s="287">
        <f>SUM(O600:O607)</f>
        <v>0</v>
      </c>
      <c r="P599" s="245"/>
      <c r="Q599" s="246">
        <f>SUM(Q600:Q607)</f>
        <v>0</v>
      </c>
      <c r="R599" s="246">
        <f t="shared" ref="R599:Y599" si="237">SUM(R600:R607)</f>
        <v>0</v>
      </c>
      <c r="S599" s="246">
        <f t="shared" si="237"/>
        <v>0</v>
      </c>
      <c r="T599" s="246">
        <f t="shared" si="237"/>
        <v>0</v>
      </c>
      <c r="U599" s="246">
        <f t="shared" si="237"/>
        <v>0</v>
      </c>
      <c r="V599" s="246">
        <f t="shared" si="237"/>
        <v>0</v>
      </c>
      <c r="W599" s="246">
        <f t="shared" si="237"/>
        <v>0</v>
      </c>
      <c r="X599" s="246">
        <f t="shared" si="237"/>
        <v>0</v>
      </c>
      <c r="Y599" s="246">
        <f t="shared" si="237"/>
        <v>0</v>
      </c>
      <c r="Z599" s="246">
        <f>SUM(Z600:Z607)</f>
        <v>0</v>
      </c>
    </row>
    <row r="600" spans="1:26" hidden="1" outlineLevel="2">
      <c r="A600" s="19"/>
      <c r="B600" s="38"/>
      <c r="C600" s="207"/>
      <c r="D600" s="208"/>
      <c r="E600" s="133"/>
      <c r="F600" s="261"/>
      <c r="G600" s="138"/>
      <c r="H600" s="135"/>
      <c r="I600" s="206"/>
      <c r="J600" s="206"/>
      <c r="K600" s="206"/>
      <c r="L600" s="137"/>
      <c r="M600" s="163"/>
      <c r="N600" s="163"/>
      <c r="O600" s="163"/>
      <c r="P600" s="205"/>
      <c r="Q600" s="236">
        <f>SUM(R600,U600)</f>
        <v>0</v>
      </c>
      <c r="R600" s="236">
        <f>SUM(S600:T600)</f>
        <v>0</v>
      </c>
      <c r="S600" s="236"/>
      <c r="T600" s="236"/>
      <c r="U600" s="236">
        <f>SUM(V600:Y600)</f>
        <v>0</v>
      </c>
      <c r="V600" s="236"/>
      <c r="W600" s="232">
        <f>V600*0.304</f>
        <v>0</v>
      </c>
      <c r="X600" s="236"/>
      <c r="Y600" s="236"/>
      <c r="Z600" s="236"/>
    </row>
    <row r="601" spans="1:26" hidden="1" outlineLevel="2">
      <c r="A601" s="19"/>
      <c r="B601" s="38"/>
      <c r="C601" s="207"/>
      <c r="D601" s="208"/>
      <c r="E601" s="133"/>
      <c r="F601" s="261"/>
      <c r="G601" s="138"/>
      <c r="H601" s="135"/>
      <c r="I601" s="206"/>
      <c r="J601" s="206"/>
      <c r="K601" s="206"/>
      <c r="L601" s="137"/>
      <c r="M601" s="163"/>
      <c r="N601" s="163"/>
      <c r="O601" s="163"/>
      <c r="P601" s="205"/>
      <c r="Q601" s="236">
        <f t="shared" ref="Q601:Q607" si="238">SUM(R601,U601)</f>
        <v>0</v>
      </c>
      <c r="R601" s="236">
        <f t="shared" ref="R601:R606" si="239">SUM(S601:T601)</f>
        <v>0</v>
      </c>
      <c r="S601" s="236"/>
      <c r="T601" s="236"/>
      <c r="U601" s="236">
        <f t="shared" ref="U601:U607" si="240">SUM(V601:Y601)</f>
        <v>0</v>
      </c>
      <c r="V601" s="236"/>
      <c r="W601" s="232">
        <f t="shared" ref="W601:W607" si="241">V601*0.304</f>
        <v>0</v>
      </c>
      <c r="X601" s="236"/>
      <c r="Y601" s="236"/>
      <c r="Z601" s="236"/>
    </row>
    <row r="602" spans="1:26" hidden="1" outlineLevel="2">
      <c r="A602" s="19"/>
      <c r="B602" s="38"/>
      <c r="C602" s="207"/>
      <c r="D602" s="208"/>
      <c r="E602" s="133"/>
      <c r="F602" s="261"/>
      <c r="G602" s="138"/>
      <c r="H602" s="135"/>
      <c r="I602" s="206"/>
      <c r="J602" s="206"/>
      <c r="K602" s="206"/>
      <c r="L602" s="137"/>
      <c r="M602" s="163"/>
      <c r="N602" s="163"/>
      <c r="O602" s="163"/>
      <c r="P602" s="205"/>
      <c r="Q602" s="236">
        <f t="shared" si="238"/>
        <v>0</v>
      </c>
      <c r="R602" s="236">
        <f t="shared" si="239"/>
        <v>0</v>
      </c>
      <c r="S602" s="236"/>
      <c r="T602" s="236"/>
      <c r="U602" s="236">
        <f t="shared" si="240"/>
        <v>0</v>
      </c>
      <c r="V602" s="236"/>
      <c r="W602" s="232">
        <f t="shared" si="241"/>
        <v>0</v>
      </c>
      <c r="X602" s="236"/>
      <c r="Y602" s="236"/>
      <c r="Z602" s="236"/>
    </row>
    <row r="603" spans="1:26" hidden="1" outlineLevel="2">
      <c r="A603" s="19"/>
      <c r="B603" s="38"/>
      <c r="C603" s="207"/>
      <c r="D603" s="208"/>
      <c r="E603" s="133"/>
      <c r="F603" s="261"/>
      <c r="G603" s="138"/>
      <c r="H603" s="135"/>
      <c r="I603" s="206"/>
      <c r="J603" s="206"/>
      <c r="K603" s="206"/>
      <c r="L603" s="137"/>
      <c r="M603" s="163"/>
      <c r="N603" s="163"/>
      <c r="O603" s="163"/>
      <c r="P603" s="205"/>
      <c r="Q603" s="236">
        <f t="shared" si="238"/>
        <v>0</v>
      </c>
      <c r="R603" s="236">
        <f t="shared" si="239"/>
        <v>0</v>
      </c>
      <c r="S603" s="236"/>
      <c r="T603" s="236"/>
      <c r="U603" s="236">
        <f t="shared" si="240"/>
        <v>0</v>
      </c>
      <c r="V603" s="236"/>
      <c r="W603" s="232">
        <f t="shared" si="241"/>
        <v>0</v>
      </c>
      <c r="X603" s="236"/>
      <c r="Y603" s="236"/>
      <c r="Z603" s="236"/>
    </row>
    <row r="604" spans="1:26" hidden="1" outlineLevel="2">
      <c r="A604" s="19"/>
      <c r="B604" s="38"/>
      <c r="C604" s="207"/>
      <c r="D604" s="208"/>
      <c r="E604" s="133"/>
      <c r="F604" s="261"/>
      <c r="G604" s="138"/>
      <c r="H604" s="135"/>
      <c r="I604" s="206"/>
      <c r="J604" s="206"/>
      <c r="K604" s="206"/>
      <c r="L604" s="137"/>
      <c r="M604" s="163"/>
      <c r="N604" s="163"/>
      <c r="O604" s="163"/>
      <c r="P604" s="205"/>
      <c r="Q604" s="236">
        <f t="shared" si="238"/>
        <v>0</v>
      </c>
      <c r="R604" s="236">
        <f t="shared" si="239"/>
        <v>0</v>
      </c>
      <c r="S604" s="236"/>
      <c r="T604" s="236"/>
      <c r="U604" s="236">
        <f t="shared" si="240"/>
        <v>0</v>
      </c>
      <c r="V604" s="236"/>
      <c r="W604" s="232">
        <f t="shared" si="241"/>
        <v>0</v>
      </c>
      <c r="X604" s="236"/>
      <c r="Y604" s="236"/>
      <c r="Z604" s="236"/>
    </row>
    <row r="605" spans="1:26" hidden="1" outlineLevel="2">
      <c r="A605" s="160"/>
      <c r="B605" s="38"/>
      <c r="C605" s="207"/>
      <c r="D605" s="208"/>
      <c r="E605" s="133"/>
      <c r="F605" s="261"/>
      <c r="G605" s="138"/>
      <c r="H605" s="139"/>
      <c r="I605" s="206"/>
      <c r="J605" s="206"/>
      <c r="K605" s="206"/>
      <c r="L605" s="137"/>
      <c r="M605" s="74"/>
      <c r="N605" s="74"/>
      <c r="O605" s="234"/>
      <c r="P605" s="205"/>
      <c r="Q605" s="236">
        <f t="shared" si="238"/>
        <v>0</v>
      </c>
      <c r="R605" s="236">
        <f t="shared" si="239"/>
        <v>0</v>
      </c>
      <c r="S605" s="235"/>
      <c r="T605" s="235"/>
      <c r="U605" s="236">
        <f t="shared" si="240"/>
        <v>0</v>
      </c>
      <c r="V605" s="235"/>
      <c r="W605" s="232">
        <f t="shared" si="241"/>
        <v>0</v>
      </c>
      <c r="X605" s="235"/>
      <c r="Y605" s="235"/>
      <c r="Z605" s="235"/>
    </row>
    <row r="606" spans="1:26" hidden="1" outlineLevel="2">
      <c r="A606" s="160"/>
      <c r="B606" s="38"/>
      <c r="C606" s="207"/>
      <c r="D606" s="208"/>
      <c r="E606" s="133"/>
      <c r="F606" s="261"/>
      <c r="G606" s="138"/>
      <c r="H606" s="139"/>
      <c r="I606" s="206"/>
      <c r="J606" s="206"/>
      <c r="K606" s="206"/>
      <c r="L606" s="137"/>
      <c r="M606" s="74"/>
      <c r="N606" s="19"/>
      <c r="O606" s="234"/>
      <c r="P606" s="205"/>
      <c r="Q606" s="236">
        <f t="shared" si="238"/>
        <v>0</v>
      </c>
      <c r="R606" s="236">
        <f t="shared" si="239"/>
        <v>0</v>
      </c>
      <c r="S606" s="235"/>
      <c r="T606" s="235"/>
      <c r="U606" s="236">
        <f t="shared" si="240"/>
        <v>0</v>
      </c>
      <c r="V606" s="235"/>
      <c r="W606" s="232">
        <f t="shared" si="241"/>
        <v>0</v>
      </c>
      <c r="X606" s="235"/>
      <c r="Y606" s="235"/>
      <c r="Z606" s="235"/>
    </row>
    <row r="607" spans="1:26" hidden="1" outlineLevel="2">
      <c r="A607" s="160"/>
      <c r="B607" s="38"/>
      <c r="C607" s="207"/>
      <c r="D607" s="208"/>
      <c r="E607" s="133"/>
      <c r="F607" s="261"/>
      <c r="G607" s="138"/>
      <c r="H607" s="139"/>
      <c r="I607" s="206"/>
      <c r="J607" s="206"/>
      <c r="K607" s="206"/>
      <c r="L607" s="137"/>
      <c r="M607" s="74"/>
      <c r="N607" s="19"/>
      <c r="O607" s="234"/>
      <c r="P607" s="205"/>
      <c r="Q607" s="236">
        <f t="shared" si="238"/>
        <v>0</v>
      </c>
      <c r="R607" s="236">
        <f>SUM(S607:T607)</f>
        <v>0</v>
      </c>
      <c r="S607" s="235"/>
      <c r="T607" s="235"/>
      <c r="U607" s="236">
        <f t="shared" si="240"/>
        <v>0</v>
      </c>
      <c r="V607" s="235"/>
      <c r="W607" s="232">
        <f t="shared" si="241"/>
        <v>0</v>
      </c>
      <c r="X607" s="235"/>
      <c r="Y607" s="235"/>
      <c r="Z607" s="235"/>
    </row>
    <row r="608" spans="1:26" hidden="1" outlineLevel="2">
      <c r="A608" s="160"/>
      <c r="B608" s="74"/>
      <c r="C608" s="207"/>
      <c r="D608" s="208"/>
      <c r="E608" s="133"/>
      <c r="F608" s="261"/>
      <c r="G608" s="138"/>
      <c r="H608" s="139"/>
      <c r="I608" s="206"/>
      <c r="J608" s="206"/>
      <c r="K608" s="206"/>
      <c r="L608" s="137"/>
      <c r="M608" s="74"/>
      <c r="N608" s="19"/>
      <c r="O608" s="234"/>
      <c r="P608" s="205"/>
      <c r="Q608" s="235"/>
      <c r="R608" s="235"/>
      <c r="S608" s="235"/>
      <c r="T608" s="235"/>
      <c r="U608" s="235"/>
      <c r="V608" s="235"/>
      <c r="W608" s="235"/>
      <c r="X608" s="235"/>
      <c r="Y608" s="235"/>
      <c r="Z608" s="235"/>
    </row>
    <row r="609" spans="1:26" ht="15.75" outlineLevel="1" thickBot="1">
      <c r="A609" s="312"/>
      <c r="B609" s="313"/>
      <c r="C609" s="313"/>
      <c r="D609" s="313"/>
      <c r="E609" s="314"/>
      <c r="F609" s="315"/>
      <c r="G609" s="316"/>
      <c r="H609" s="317"/>
      <c r="I609" s="318"/>
      <c r="J609" s="318"/>
      <c r="K609" s="318"/>
      <c r="L609" s="319"/>
      <c r="M609" s="51"/>
      <c r="N609" s="51"/>
      <c r="O609" s="320"/>
      <c r="P609" s="321"/>
      <c r="Q609" s="322"/>
      <c r="R609" s="322"/>
      <c r="S609" s="322"/>
      <c r="T609" s="322"/>
      <c r="U609" s="322"/>
      <c r="V609" s="322"/>
      <c r="W609" s="322"/>
      <c r="X609" s="322"/>
      <c r="Y609" s="322"/>
      <c r="Z609" s="322"/>
    </row>
    <row r="610" spans="1:26" customFormat="1" ht="18.75" customHeight="1">
      <c r="A610" s="642">
        <v>2</v>
      </c>
      <c r="B610" s="643"/>
      <c r="C610" s="643"/>
      <c r="D610" s="644"/>
      <c r="E610" s="651" t="s">
        <v>57</v>
      </c>
      <c r="F610" s="654"/>
      <c r="G610" s="657"/>
      <c r="H610" s="660"/>
      <c r="I610" s="660"/>
      <c r="J610" s="660"/>
      <c r="K610" s="660"/>
      <c r="L610" s="660"/>
      <c r="M610" s="660"/>
      <c r="N610" s="660"/>
      <c r="O610" s="660"/>
      <c r="P610" s="140" t="s">
        <v>58</v>
      </c>
      <c r="Q610" s="144">
        <v>0</v>
      </c>
      <c r="R610" s="144">
        <v>0</v>
      </c>
      <c r="S610" s="144">
        <v>0</v>
      </c>
      <c r="T610" s="144">
        <v>0</v>
      </c>
      <c r="U610" s="144">
        <v>0</v>
      </c>
      <c r="V610" s="144">
        <v>0</v>
      </c>
      <c r="W610" s="144">
        <v>0</v>
      </c>
      <c r="X610" s="144">
        <v>0</v>
      </c>
      <c r="Y610" s="144">
        <v>0</v>
      </c>
      <c r="Z610" s="144">
        <v>0</v>
      </c>
    </row>
    <row r="611" spans="1:26" customFormat="1" ht="18.75" customHeight="1">
      <c r="A611" s="645"/>
      <c r="B611" s="646"/>
      <c r="C611" s="646"/>
      <c r="D611" s="647"/>
      <c r="E611" s="652"/>
      <c r="F611" s="655"/>
      <c r="G611" s="658"/>
      <c r="H611" s="661"/>
      <c r="I611" s="661"/>
      <c r="J611" s="661"/>
      <c r="K611" s="661"/>
      <c r="L611" s="661"/>
      <c r="M611" s="661"/>
      <c r="N611" s="661"/>
      <c r="O611" s="661"/>
      <c r="P611" s="141" t="s">
        <v>59</v>
      </c>
      <c r="Q611" s="145">
        <f t="shared" ref="Q611:Z611" si="242">SUMIF($I614:$I1081,"КАП",Q614:Q1081)</f>
        <v>0</v>
      </c>
      <c r="R611" s="145">
        <f t="shared" si="242"/>
        <v>0</v>
      </c>
      <c r="S611" s="145">
        <f t="shared" si="242"/>
        <v>0</v>
      </c>
      <c r="T611" s="145">
        <f t="shared" si="242"/>
        <v>0</v>
      </c>
      <c r="U611" s="145">
        <f t="shared" si="242"/>
        <v>0</v>
      </c>
      <c r="V611" s="145">
        <f t="shared" si="242"/>
        <v>0</v>
      </c>
      <c r="W611" s="145">
        <f t="shared" si="242"/>
        <v>0</v>
      </c>
      <c r="X611" s="145">
        <f t="shared" si="242"/>
        <v>0</v>
      </c>
      <c r="Y611" s="145">
        <f t="shared" si="242"/>
        <v>0</v>
      </c>
      <c r="Z611" s="145">
        <f t="shared" si="242"/>
        <v>0</v>
      </c>
    </row>
    <row r="612" spans="1:26" customFormat="1" ht="18.75" customHeight="1">
      <c r="A612" s="645"/>
      <c r="B612" s="646"/>
      <c r="C612" s="646"/>
      <c r="D612" s="647"/>
      <c r="E612" s="652"/>
      <c r="F612" s="655"/>
      <c r="G612" s="658"/>
      <c r="H612" s="661"/>
      <c r="I612" s="661"/>
      <c r="J612" s="661"/>
      <c r="K612" s="661"/>
      <c r="L612" s="661"/>
      <c r="M612" s="661"/>
      <c r="N612" s="661"/>
      <c r="O612" s="661"/>
      <c r="P612" s="142" t="s">
        <v>60</v>
      </c>
      <c r="Q612" s="145">
        <f t="shared" ref="Q612:Z612" si="243">SUMIF($I614:$I1081,"сред",Q614:Q1081)</f>
        <v>0</v>
      </c>
      <c r="R612" s="145">
        <f t="shared" si="243"/>
        <v>0</v>
      </c>
      <c r="S612" s="145">
        <f t="shared" si="243"/>
        <v>0</v>
      </c>
      <c r="T612" s="145">
        <f t="shared" si="243"/>
        <v>0</v>
      </c>
      <c r="U612" s="145">
        <f t="shared" si="243"/>
        <v>0</v>
      </c>
      <c r="V612" s="145">
        <f t="shared" si="243"/>
        <v>0</v>
      </c>
      <c r="W612" s="145">
        <f t="shared" si="243"/>
        <v>0</v>
      </c>
      <c r="X612" s="145">
        <f t="shared" si="243"/>
        <v>0</v>
      </c>
      <c r="Y612" s="145">
        <f t="shared" si="243"/>
        <v>0</v>
      </c>
      <c r="Z612" s="145">
        <f t="shared" si="243"/>
        <v>0</v>
      </c>
    </row>
    <row r="613" spans="1:26" customFormat="1" ht="19.5" customHeight="1" thickBot="1">
      <c r="A613" s="648"/>
      <c r="B613" s="649"/>
      <c r="C613" s="649"/>
      <c r="D613" s="650"/>
      <c r="E613" s="653"/>
      <c r="F613" s="656"/>
      <c r="G613" s="659"/>
      <c r="H613" s="662"/>
      <c r="I613" s="662"/>
      <c r="J613" s="662"/>
      <c r="K613" s="662"/>
      <c r="L613" s="662"/>
      <c r="M613" s="662"/>
      <c r="N613" s="662"/>
      <c r="O613" s="662"/>
      <c r="P613" s="143" t="s">
        <v>61</v>
      </c>
      <c r="Q613" s="146">
        <f t="shared" ref="Q613:Z613" si="244">SUMIF($I614:$I1081,"ТЕК",Q614:Q1081)</f>
        <v>0</v>
      </c>
      <c r="R613" s="146">
        <f t="shared" si="244"/>
        <v>0</v>
      </c>
      <c r="S613" s="146">
        <f t="shared" si="244"/>
        <v>0</v>
      </c>
      <c r="T613" s="146">
        <f t="shared" si="244"/>
        <v>0</v>
      </c>
      <c r="U613" s="146">
        <f t="shared" si="244"/>
        <v>0</v>
      </c>
      <c r="V613" s="146">
        <f t="shared" si="244"/>
        <v>0</v>
      </c>
      <c r="W613" s="146">
        <f t="shared" si="244"/>
        <v>0</v>
      </c>
      <c r="X613" s="146">
        <f t="shared" si="244"/>
        <v>0</v>
      </c>
      <c r="Y613" s="146">
        <f t="shared" si="244"/>
        <v>0</v>
      </c>
      <c r="Z613" s="146">
        <f t="shared" si="244"/>
        <v>0</v>
      </c>
    </row>
    <row r="614" spans="1:26" s="75" customFormat="1" outlineLevel="1" collapsed="1">
      <c r="A614" s="237"/>
      <c r="B614" s="238"/>
      <c r="C614" s="239"/>
      <c r="D614" s="240"/>
      <c r="E614" s="241"/>
      <c r="F614" s="264"/>
      <c r="G614" s="242"/>
      <c r="H614" s="243"/>
      <c r="I614" s="244"/>
      <c r="J614" s="244"/>
      <c r="K614" s="244"/>
      <c r="L614" s="150" t="str">
        <f>CONCATENATE(L615," ",N615,M615," ",L616," ",N616,M616," ",L617," ",N617,M617," ",L618," ",N618,M618," ",L619," ",N619,M619," ",L620," ",N620,M620," ",L621," ",N621,M621," ",L622," ",N622,M622," ",L623," ",N623,M623," ",L624," ",N624,M624," "," ",L625," ",N625,M625," ",L626," ",N626,M626," ",L627," ",N627,M627," ",L628," ",N628,M628," ",L629," ",N629,M629," ",L630," ",N630,M630)</f>
        <v xml:space="preserve">                                </v>
      </c>
      <c r="M614" s="243"/>
      <c r="N614" s="243"/>
      <c r="O614" s="287">
        <f>SUM(O623:O630)</f>
        <v>0</v>
      </c>
      <c r="P614" s="245"/>
      <c r="Q614" s="246">
        <f>SUM(Q623:Q630)</f>
        <v>0</v>
      </c>
      <c r="R614" s="246">
        <f t="shared" ref="R614:Y614" si="245">SUM(R623:R630)</f>
        <v>0</v>
      </c>
      <c r="S614" s="246">
        <f t="shared" si="245"/>
        <v>0</v>
      </c>
      <c r="T614" s="246">
        <f t="shared" si="245"/>
        <v>0</v>
      </c>
      <c r="U614" s="246">
        <f t="shared" si="245"/>
        <v>0</v>
      </c>
      <c r="V614" s="246">
        <f t="shared" si="245"/>
        <v>0</v>
      </c>
      <c r="W614" s="246">
        <f t="shared" si="245"/>
        <v>0</v>
      </c>
      <c r="X614" s="246">
        <f t="shared" si="245"/>
        <v>0</v>
      </c>
      <c r="Y614" s="246">
        <f t="shared" si="245"/>
        <v>0</v>
      </c>
      <c r="Z614" s="246">
        <f>SUM(Z623:Z630)</f>
        <v>0</v>
      </c>
    </row>
    <row r="615" spans="1:26" hidden="1" outlineLevel="2">
      <c r="A615" s="19"/>
      <c r="B615" s="323"/>
      <c r="C615" s="207"/>
      <c r="D615" s="208"/>
      <c r="E615" s="133"/>
      <c r="F615" s="261"/>
      <c r="G615" s="138"/>
      <c r="H615" s="135"/>
      <c r="I615" s="206"/>
      <c r="J615" s="206"/>
      <c r="K615" s="206"/>
      <c r="L615" s="137"/>
      <c r="M615" s="163"/>
      <c r="N615" s="163"/>
      <c r="O615" s="163"/>
      <c r="P615" s="205"/>
      <c r="Q615" s="236">
        <f>SUM(R615,U615)</f>
        <v>0</v>
      </c>
      <c r="R615" s="236">
        <f>SUM(S615:T615)</f>
        <v>0</v>
      </c>
      <c r="S615" s="236"/>
      <c r="T615" s="236"/>
      <c r="U615" s="236">
        <f>SUM(V615:Y615)</f>
        <v>0</v>
      </c>
      <c r="V615" s="236"/>
      <c r="W615" s="232">
        <f>V615*0.304</f>
        <v>0</v>
      </c>
      <c r="X615" s="236"/>
      <c r="Y615" s="236"/>
      <c r="Z615" s="236"/>
    </row>
    <row r="616" spans="1:26" hidden="1" outlineLevel="2">
      <c r="A616" s="19"/>
      <c r="B616" s="323"/>
      <c r="C616" s="207"/>
      <c r="D616" s="208"/>
      <c r="E616" s="133"/>
      <c r="F616" s="261"/>
      <c r="G616" s="138"/>
      <c r="H616" s="135"/>
      <c r="I616" s="206"/>
      <c r="J616" s="206"/>
      <c r="K616" s="206"/>
      <c r="L616" s="137"/>
      <c r="M616" s="163"/>
      <c r="N616" s="163"/>
      <c r="O616" s="163"/>
      <c r="P616" s="205"/>
      <c r="Q616" s="236">
        <f t="shared" ref="Q616:Q622" si="246">SUM(R616,U616)</f>
        <v>0</v>
      </c>
      <c r="R616" s="236">
        <f t="shared" ref="R616:R621" si="247">SUM(S616:T616)</f>
        <v>0</v>
      </c>
      <c r="S616" s="236"/>
      <c r="T616" s="236"/>
      <c r="U616" s="236">
        <f t="shared" ref="U616:U622" si="248">SUM(V616:Y616)</f>
        <v>0</v>
      </c>
      <c r="V616" s="236"/>
      <c r="W616" s="232">
        <f t="shared" ref="W616:W622" si="249">V616*0.304</f>
        <v>0</v>
      </c>
      <c r="X616" s="236"/>
      <c r="Y616" s="236"/>
      <c r="Z616" s="236"/>
    </row>
    <row r="617" spans="1:26" hidden="1" outlineLevel="2">
      <c r="A617" s="19"/>
      <c r="B617" s="323"/>
      <c r="C617" s="207"/>
      <c r="D617" s="208"/>
      <c r="E617" s="133"/>
      <c r="F617" s="261"/>
      <c r="G617" s="138"/>
      <c r="H617" s="135"/>
      <c r="I617" s="206"/>
      <c r="J617" s="206"/>
      <c r="K617" s="206"/>
      <c r="L617" s="137"/>
      <c r="M617" s="163"/>
      <c r="N617" s="163"/>
      <c r="O617" s="163"/>
      <c r="P617" s="205"/>
      <c r="Q617" s="236">
        <f t="shared" si="246"/>
        <v>0</v>
      </c>
      <c r="R617" s="236">
        <f t="shared" si="247"/>
        <v>0</v>
      </c>
      <c r="S617" s="236"/>
      <c r="T617" s="236"/>
      <c r="U617" s="236">
        <f t="shared" si="248"/>
        <v>0</v>
      </c>
      <c r="V617" s="236"/>
      <c r="W617" s="232">
        <f t="shared" si="249"/>
        <v>0</v>
      </c>
      <c r="X617" s="236"/>
      <c r="Y617" s="236"/>
      <c r="Z617" s="236"/>
    </row>
    <row r="618" spans="1:26" hidden="1" outlineLevel="2">
      <c r="A618" s="19"/>
      <c r="B618" s="323"/>
      <c r="C618" s="207"/>
      <c r="D618" s="208"/>
      <c r="E618" s="133"/>
      <c r="F618" s="261"/>
      <c r="G618" s="138"/>
      <c r="H618" s="135"/>
      <c r="I618" s="206"/>
      <c r="J618" s="206"/>
      <c r="K618" s="206"/>
      <c r="L618" s="137"/>
      <c r="M618" s="163"/>
      <c r="N618" s="163"/>
      <c r="O618" s="163"/>
      <c r="P618" s="205"/>
      <c r="Q618" s="236">
        <f t="shared" si="246"/>
        <v>0</v>
      </c>
      <c r="R618" s="236">
        <f t="shared" si="247"/>
        <v>0</v>
      </c>
      <c r="S618" s="236"/>
      <c r="T618" s="236"/>
      <c r="U618" s="236">
        <f t="shared" si="248"/>
        <v>0</v>
      </c>
      <c r="V618" s="236"/>
      <c r="W618" s="232">
        <f t="shared" si="249"/>
        <v>0</v>
      </c>
      <c r="X618" s="236"/>
      <c r="Y618" s="236"/>
      <c r="Z618" s="236"/>
    </row>
    <row r="619" spans="1:26" hidden="1" outlineLevel="2">
      <c r="A619" s="19"/>
      <c r="B619" s="323"/>
      <c r="C619" s="207"/>
      <c r="D619" s="208"/>
      <c r="E619" s="133"/>
      <c r="F619" s="261"/>
      <c r="G619" s="138"/>
      <c r="H619" s="135"/>
      <c r="I619" s="206"/>
      <c r="J619" s="206"/>
      <c r="K619" s="206"/>
      <c r="L619" s="137"/>
      <c r="M619" s="163"/>
      <c r="N619" s="163"/>
      <c r="O619" s="163"/>
      <c r="P619" s="205"/>
      <c r="Q619" s="236">
        <f t="shared" si="246"/>
        <v>0</v>
      </c>
      <c r="R619" s="236">
        <f t="shared" si="247"/>
        <v>0</v>
      </c>
      <c r="S619" s="236"/>
      <c r="T619" s="236"/>
      <c r="U619" s="236">
        <f t="shared" si="248"/>
        <v>0</v>
      </c>
      <c r="V619" s="236"/>
      <c r="W619" s="232">
        <f t="shared" si="249"/>
        <v>0</v>
      </c>
      <c r="X619" s="236"/>
      <c r="Y619" s="236"/>
      <c r="Z619" s="236"/>
    </row>
    <row r="620" spans="1:26" hidden="1" outlineLevel="2">
      <c r="A620" s="160"/>
      <c r="B620" s="323"/>
      <c r="C620" s="207"/>
      <c r="D620" s="208"/>
      <c r="E620" s="133"/>
      <c r="F620" s="261"/>
      <c r="G620" s="138"/>
      <c r="H620" s="139"/>
      <c r="I620" s="206"/>
      <c r="J620" s="206"/>
      <c r="K620" s="206"/>
      <c r="L620" s="137"/>
      <c r="M620" s="74"/>
      <c r="N620" s="74"/>
      <c r="O620" s="234"/>
      <c r="P620" s="205"/>
      <c r="Q620" s="236">
        <f t="shared" si="246"/>
        <v>0</v>
      </c>
      <c r="R620" s="236">
        <f t="shared" si="247"/>
        <v>0</v>
      </c>
      <c r="S620" s="235"/>
      <c r="T620" s="235"/>
      <c r="U620" s="236">
        <f t="shared" si="248"/>
        <v>0</v>
      </c>
      <c r="V620" s="235"/>
      <c r="W620" s="232">
        <f t="shared" si="249"/>
        <v>0</v>
      </c>
      <c r="X620" s="235"/>
      <c r="Y620" s="235"/>
      <c r="Z620" s="235"/>
    </row>
    <row r="621" spans="1:26" hidden="1" outlineLevel="2">
      <c r="A621" s="160"/>
      <c r="B621" s="323"/>
      <c r="C621" s="207"/>
      <c r="D621" s="208"/>
      <c r="E621" s="133"/>
      <c r="F621" s="261"/>
      <c r="G621" s="138"/>
      <c r="H621" s="139"/>
      <c r="I621" s="206"/>
      <c r="J621" s="206"/>
      <c r="K621" s="206"/>
      <c r="L621" s="137"/>
      <c r="M621" s="74"/>
      <c r="N621" s="19"/>
      <c r="O621" s="234"/>
      <c r="P621" s="205"/>
      <c r="Q621" s="236">
        <f t="shared" si="246"/>
        <v>0</v>
      </c>
      <c r="R621" s="236">
        <f t="shared" si="247"/>
        <v>0</v>
      </c>
      <c r="S621" s="235"/>
      <c r="T621" s="235"/>
      <c r="U621" s="236">
        <f t="shared" si="248"/>
        <v>0</v>
      </c>
      <c r="V621" s="235"/>
      <c r="W621" s="232">
        <f t="shared" si="249"/>
        <v>0</v>
      </c>
      <c r="X621" s="235"/>
      <c r="Y621" s="235"/>
      <c r="Z621" s="235"/>
    </row>
    <row r="622" spans="1:26" hidden="1" outlineLevel="2">
      <c r="A622" s="160"/>
      <c r="B622" s="323"/>
      <c r="C622" s="207"/>
      <c r="D622" s="208"/>
      <c r="E622" s="133"/>
      <c r="F622" s="261"/>
      <c r="G622" s="138"/>
      <c r="H622" s="139"/>
      <c r="I622" s="206"/>
      <c r="J622" s="206"/>
      <c r="K622" s="206"/>
      <c r="L622" s="137"/>
      <c r="M622" s="74"/>
      <c r="N622" s="19"/>
      <c r="O622" s="234"/>
      <c r="P622" s="205"/>
      <c r="Q622" s="236">
        <f t="shared" si="246"/>
        <v>0</v>
      </c>
      <c r="R622" s="236">
        <f>SUM(S622:T622)</f>
        <v>0</v>
      </c>
      <c r="S622" s="235"/>
      <c r="T622" s="235"/>
      <c r="U622" s="236">
        <f t="shared" si="248"/>
        <v>0</v>
      </c>
      <c r="V622" s="235"/>
      <c r="W622" s="232">
        <f t="shared" si="249"/>
        <v>0</v>
      </c>
      <c r="X622" s="235"/>
      <c r="Y622" s="235"/>
      <c r="Z622" s="235"/>
    </row>
    <row r="623" spans="1:26" hidden="1" outlineLevel="2">
      <c r="A623" s="19"/>
      <c r="B623" s="323"/>
      <c r="C623" s="207"/>
      <c r="D623" s="208"/>
      <c r="E623" s="133"/>
      <c r="F623" s="261"/>
      <c r="G623" s="138"/>
      <c r="H623" s="135"/>
      <c r="I623" s="206"/>
      <c r="J623" s="206"/>
      <c r="K623" s="206"/>
      <c r="L623" s="137"/>
      <c r="M623" s="163"/>
      <c r="N623" s="163"/>
      <c r="O623" s="163"/>
      <c r="P623" s="205"/>
      <c r="Q623" s="236">
        <f>SUM(R623,U623)</f>
        <v>0</v>
      </c>
      <c r="R623" s="236">
        <f>SUM(S623:T623)</f>
        <v>0</v>
      </c>
      <c r="S623" s="236"/>
      <c r="T623" s="236"/>
      <c r="U623" s="236">
        <f>SUM(V623:Y623)</f>
        <v>0</v>
      </c>
      <c r="V623" s="236"/>
      <c r="W623" s="232">
        <f>V623*0.304</f>
        <v>0</v>
      </c>
      <c r="X623" s="236"/>
      <c r="Y623" s="236"/>
      <c r="Z623" s="236"/>
    </row>
    <row r="624" spans="1:26" hidden="1" outlineLevel="2">
      <c r="A624" s="19"/>
      <c r="B624" s="323"/>
      <c r="C624" s="207"/>
      <c r="D624" s="208"/>
      <c r="E624" s="133"/>
      <c r="F624" s="261"/>
      <c r="G624" s="138"/>
      <c r="H624" s="135"/>
      <c r="I624" s="206"/>
      <c r="J624" s="206"/>
      <c r="K624" s="206"/>
      <c r="L624" s="137"/>
      <c r="M624" s="163"/>
      <c r="N624" s="163"/>
      <c r="O624" s="163"/>
      <c r="P624" s="205"/>
      <c r="Q624" s="236">
        <f t="shared" ref="Q624:Q630" si="250">SUM(R624,U624)</f>
        <v>0</v>
      </c>
      <c r="R624" s="236">
        <f t="shared" ref="R624:R629" si="251">SUM(S624:T624)</f>
        <v>0</v>
      </c>
      <c r="S624" s="236"/>
      <c r="T624" s="236"/>
      <c r="U624" s="236">
        <f t="shared" ref="U624:U630" si="252">SUM(V624:Y624)</f>
        <v>0</v>
      </c>
      <c r="V624" s="236"/>
      <c r="W624" s="232">
        <f t="shared" ref="W624:W630" si="253">V624*0.304</f>
        <v>0</v>
      </c>
      <c r="X624" s="236"/>
      <c r="Y624" s="236"/>
      <c r="Z624" s="236"/>
    </row>
    <row r="625" spans="1:26" hidden="1" outlineLevel="2">
      <c r="A625" s="19"/>
      <c r="B625" s="323"/>
      <c r="C625" s="207"/>
      <c r="D625" s="208"/>
      <c r="E625" s="133"/>
      <c r="F625" s="261"/>
      <c r="G625" s="138"/>
      <c r="H625" s="135"/>
      <c r="I625" s="206"/>
      <c r="J625" s="206"/>
      <c r="K625" s="206"/>
      <c r="L625" s="137"/>
      <c r="M625" s="163"/>
      <c r="N625" s="163"/>
      <c r="O625" s="163"/>
      <c r="P625" s="205"/>
      <c r="Q625" s="236">
        <f t="shared" si="250"/>
        <v>0</v>
      </c>
      <c r="R625" s="236">
        <f t="shared" si="251"/>
        <v>0</v>
      </c>
      <c r="S625" s="236"/>
      <c r="T625" s="236"/>
      <c r="U625" s="236">
        <f t="shared" si="252"/>
        <v>0</v>
      </c>
      <c r="V625" s="236"/>
      <c r="W625" s="232">
        <f t="shared" si="253"/>
        <v>0</v>
      </c>
      <c r="X625" s="236"/>
      <c r="Y625" s="236"/>
      <c r="Z625" s="236"/>
    </row>
    <row r="626" spans="1:26" hidden="1" outlineLevel="2">
      <c r="A626" s="19"/>
      <c r="B626" s="323"/>
      <c r="C626" s="207"/>
      <c r="D626" s="208"/>
      <c r="E626" s="133"/>
      <c r="F626" s="261"/>
      <c r="G626" s="138"/>
      <c r="H626" s="135"/>
      <c r="I626" s="206"/>
      <c r="J626" s="206"/>
      <c r="K626" s="206"/>
      <c r="L626" s="137"/>
      <c r="M626" s="163"/>
      <c r="N626" s="163"/>
      <c r="O626" s="163"/>
      <c r="P626" s="205"/>
      <c r="Q626" s="236">
        <f t="shared" si="250"/>
        <v>0</v>
      </c>
      <c r="R626" s="236">
        <f t="shared" si="251"/>
        <v>0</v>
      </c>
      <c r="S626" s="236"/>
      <c r="T626" s="236"/>
      <c r="U626" s="236">
        <f t="shared" si="252"/>
        <v>0</v>
      </c>
      <c r="V626" s="236"/>
      <c r="W626" s="232">
        <f t="shared" si="253"/>
        <v>0</v>
      </c>
      <c r="X626" s="236"/>
      <c r="Y626" s="236"/>
      <c r="Z626" s="236"/>
    </row>
    <row r="627" spans="1:26" hidden="1" outlineLevel="2">
      <c r="A627" s="19"/>
      <c r="B627" s="323"/>
      <c r="C627" s="207"/>
      <c r="D627" s="208"/>
      <c r="E627" s="133"/>
      <c r="F627" s="261"/>
      <c r="G627" s="138"/>
      <c r="H627" s="135"/>
      <c r="I627" s="206"/>
      <c r="J627" s="206"/>
      <c r="K627" s="206"/>
      <c r="L627" s="137"/>
      <c r="M627" s="163"/>
      <c r="N627" s="163"/>
      <c r="O627" s="163"/>
      <c r="P627" s="205"/>
      <c r="Q627" s="236">
        <f t="shared" si="250"/>
        <v>0</v>
      </c>
      <c r="R627" s="236">
        <f t="shared" si="251"/>
        <v>0</v>
      </c>
      <c r="S627" s="236"/>
      <c r="T627" s="236"/>
      <c r="U627" s="236">
        <f t="shared" si="252"/>
        <v>0</v>
      </c>
      <c r="V627" s="236"/>
      <c r="W627" s="232">
        <f t="shared" si="253"/>
        <v>0</v>
      </c>
      <c r="X627" s="236"/>
      <c r="Y627" s="236"/>
      <c r="Z627" s="236"/>
    </row>
    <row r="628" spans="1:26" hidden="1" outlineLevel="2">
      <c r="A628" s="160"/>
      <c r="B628" s="323"/>
      <c r="C628" s="207"/>
      <c r="D628" s="208"/>
      <c r="E628" s="133"/>
      <c r="F628" s="261"/>
      <c r="G628" s="138"/>
      <c r="H628" s="139"/>
      <c r="I628" s="206"/>
      <c r="J628" s="206"/>
      <c r="K628" s="206"/>
      <c r="L628" s="137"/>
      <c r="M628" s="74"/>
      <c r="N628" s="74"/>
      <c r="O628" s="234"/>
      <c r="P628" s="205"/>
      <c r="Q628" s="236">
        <f t="shared" si="250"/>
        <v>0</v>
      </c>
      <c r="R628" s="236">
        <f t="shared" si="251"/>
        <v>0</v>
      </c>
      <c r="S628" s="235"/>
      <c r="T628" s="235"/>
      <c r="U628" s="236">
        <f t="shared" si="252"/>
        <v>0</v>
      </c>
      <c r="V628" s="235"/>
      <c r="W628" s="232">
        <f t="shared" si="253"/>
        <v>0</v>
      </c>
      <c r="X628" s="235"/>
      <c r="Y628" s="235"/>
      <c r="Z628" s="235"/>
    </row>
    <row r="629" spans="1:26" hidden="1" outlineLevel="2">
      <c r="A629" s="160"/>
      <c r="B629" s="323"/>
      <c r="C629" s="207"/>
      <c r="D629" s="208"/>
      <c r="E629" s="133"/>
      <c r="F629" s="261"/>
      <c r="G629" s="138"/>
      <c r="H629" s="139"/>
      <c r="I629" s="206"/>
      <c r="J629" s="206"/>
      <c r="K629" s="206"/>
      <c r="L629" s="137"/>
      <c r="M629" s="74"/>
      <c r="N629" s="19"/>
      <c r="O629" s="234"/>
      <c r="P629" s="205"/>
      <c r="Q629" s="236">
        <f t="shared" si="250"/>
        <v>0</v>
      </c>
      <c r="R629" s="236">
        <f t="shared" si="251"/>
        <v>0</v>
      </c>
      <c r="S629" s="235"/>
      <c r="T629" s="235"/>
      <c r="U629" s="236">
        <f t="shared" si="252"/>
        <v>0</v>
      </c>
      <c r="V629" s="235"/>
      <c r="W629" s="232">
        <f t="shared" si="253"/>
        <v>0</v>
      </c>
      <c r="X629" s="235"/>
      <c r="Y629" s="235"/>
      <c r="Z629" s="235"/>
    </row>
    <row r="630" spans="1:26" hidden="1" outlineLevel="2">
      <c r="A630" s="160"/>
      <c r="B630" s="323"/>
      <c r="C630" s="207"/>
      <c r="D630" s="208"/>
      <c r="E630" s="133"/>
      <c r="F630" s="261"/>
      <c r="G630" s="138"/>
      <c r="H630" s="139"/>
      <c r="I630" s="206"/>
      <c r="J630" s="206"/>
      <c r="K630" s="206"/>
      <c r="L630" s="137"/>
      <c r="M630" s="74"/>
      <c r="N630" s="19"/>
      <c r="O630" s="234"/>
      <c r="P630" s="205"/>
      <c r="Q630" s="236">
        <f t="shared" si="250"/>
        <v>0</v>
      </c>
      <c r="R630" s="236">
        <f>SUM(S630:T630)</f>
        <v>0</v>
      </c>
      <c r="S630" s="235"/>
      <c r="T630" s="235"/>
      <c r="U630" s="236">
        <f t="shared" si="252"/>
        <v>0</v>
      </c>
      <c r="V630" s="235"/>
      <c r="W630" s="232">
        <f t="shared" si="253"/>
        <v>0</v>
      </c>
      <c r="X630" s="235"/>
      <c r="Y630" s="235"/>
      <c r="Z630" s="235"/>
    </row>
    <row r="631" spans="1:26" hidden="1" outlineLevel="2">
      <c r="A631" s="160"/>
      <c r="B631" s="74"/>
      <c r="C631" s="207"/>
      <c r="D631" s="208"/>
      <c r="E631" s="133"/>
      <c r="F631" s="261"/>
      <c r="G631" s="138"/>
      <c r="H631" s="139"/>
      <c r="I631" s="206"/>
      <c r="J631" s="206"/>
      <c r="K631" s="206"/>
      <c r="L631" s="137"/>
      <c r="M631" s="74"/>
      <c r="N631" s="19"/>
      <c r="O631" s="234"/>
      <c r="P631" s="205"/>
      <c r="Q631" s="235"/>
      <c r="R631" s="235"/>
      <c r="S631" s="235"/>
      <c r="T631" s="235"/>
      <c r="U631" s="235"/>
      <c r="V631" s="235"/>
      <c r="W631" s="235"/>
      <c r="X631" s="235"/>
      <c r="Y631" s="235"/>
      <c r="Z631" s="235"/>
    </row>
    <row r="632" spans="1:26" s="75" customFormat="1" outlineLevel="1" collapsed="1">
      <c r="A632" s="237"/>
      <c r="B632" s="238"/>
      <c r="C632" s="239"/>
      <c r="D632" s="240"/>
      <c r="E632" s="241"/>
      <c r="F632" s="264"/>
      <c r="G632" s="242"/>
      <c r="H632" s="243"/>
      <c r="I632" s="244"/>
      <c r="J632" s="244"/>
      <c r="K632" s="244"/>
      <c r="L632" s="150" t="str">
        <f>CONCATENATE(L633," ",N633,M633," ",L634," ",N634,M634," ",L635," ",N635,M635," ",L636," ",N636,M636," ",L637," ",N637,M637," ",L638," ",N638,M638," ",L639," ",N639,M639," ",L640," ",N640,M640," ",L641," ",N641,M641," ",L642," ",N642,M642," "," ",L643," ",N643,M643," ",L644," ",N644,M644," ",L645," ",N645,M645," ",L646," ",N646,M646," ",L647," ",N647,M647," ",L648," ",N648,M648)</f>
        <v xml:space="preserve">                                </v>
      </c>
      <c r="M632" s="243"/>
      <c r="N632" s="243"/>
      <c r="O632" s="287">
        <f>SUM(O641:O648)</f>
        <v>0</v>
      </c>
      <c r="P632" s="245"/>
      <c r="Q632" s="246">
        <f>SUM(Q641:Q648)</f>
        <v>0</v>
      </c>
      <c r="R632" s="246">
        <f t="shared" ref="R632:Y632" si="254">SUM(R641:R648)</f>
        <v>0</v>
      </c>
      <c r="S632" s="246">
        <f t="shared" si="254"/>
        <v>0</v>
      </c>
      <c r="T632" s="246">
        <f t="shared" si="254"/>
        <v>0</v>
      </c>
      <c r="U632" s="246">
        <f t="shared" si="254"/>
        <v>0</v>
      </c>
      <c r="V632" s="246">
        <f t="shared" si="254"/>
        <v>0</v>
      </c>
      <c r="W632" s="246">
        <f t="shared" si="254"/>
        <v>0</v>
      </c>
      <c r="X632" s="246">
        <f t="shared" si="254"/>
        <v>0</v>
      </c>
      <c r="Y632" s="246">
        <f t="shared" si="254"/>
        <v>0</v>
      </c>
      <c r="Z632" s="246">
        <f>SUM(Z641:Z648)</f>
        <v>0</v>
      </c>
    </row>
    <row r="633" spans="1:26" hidden="1" outlineLevel="2">
      <c r="A633" s="19"/>
      <c r="B633" s="323"/>
      <c r="C633" s="207"/>
      <c r="D633" s="208"/>
      <c r="E633" s="133"/>
      <c r="F633" s="261"/>
      <c r="G633" s="138"/>
      <c r="H633" s="135"/>
      <c r="I633" s="206"/>
      <c r="J633" s="206"/>
      <c r="K633" s="206"/>
      <c r="L633" s="137"/>
      <c r="M633" s="163"/>
      <c r="N633" s="163"/>
      <c r="O633" s="163"/>
      <c r="P633" s="205"/>
      <c r="Q633" s="236">
        <f>SUM(R633,U633)</f>
        <v>0</v>
      </c>
      <c r="R633" s="236">
        <f>SUM(S633:T633)</f>
        <v>0</v>
      </c>
      <c r="S633" s="236"/>
      <c r="T633" s="236"/>
      <c r="U633" s="236">
        <f>SUM(V633:Y633)</f>
        <v>0</v>
      </c>
      <c r="V633" s="236"/>
      <c r="W633" s="232">
        <f>V633*0.304</f>
        <v>0</v>
      </c>
      <c r="X633" s="236"/>
      <c r="Y633" s="236"/>
      <c r="Z633" s="236"/>
    </row>
    <row r="634" spans="1:26" hidden="1" outlineLevel="2">
      <c r="A634" s="19"/>
      <c r="B634" s="323"/>
      <c r="C634" s="207"/>
      <c r="D634" s="208"/>
      <c r="E634" s="133"/>
      <c r="F634" s="261"/>
      <c r="G634" s="138"/>
      <c r="H634" s="135"/>
      <c r="I634" s="206"/>
      <c r="J634" s="206"/>
      <c r="K634" s="206"/>
      <c r="L634" s="137"/>
      <c r="M634" s="163"/>
      <c r="N634" s="163"/>
      <c r="O634" s="163"/>
      <c r="P634" s="205"/>
      <c r="Q634" s="236">
        <f t="shared" ref="Q634:Q640" si="255">SUM(R634,U634)</f>
        <v>0</v>
      </c>
      <c r="R634" s="236">
        <f t="shared" ref="R634:R639" si="256">SUM(S634:T634)</f>
        <v>0</v>
      </c>
      <c r="S634" s="236"/>
      <c r="T634" s="236"/>
      <c r="U634" s="236">
        <f t="shared" ref="U634:U640" si="257">SUM(V634:Y634)</f>
        <v>0</v>
      </c>
      <c r="V634" s="236"/>
      <c r="W634" s="232">
        <f t="shared" ref="W634:W640" si="258">V634*0.304</f>
        <v>0</v>
      </c>
      <c r="X634" s="236"/>
      <c r="Y634" s="236"/>
      <c r="Z634" s="236"/>
    </row>
    <row r="635" spans="1:26" hidden="1" outlineLevel="2">
      <c r="A635" s="19"/>
      <c r="B635" s="323"/>
      <c r="C635" s="207"/>
      <c r="D635" s="208"/>
      <c r="E635" s="133"/>
      <c r="F635" s="261"/>
      <c r="G635" s="138"/>
      <c r="H635" s="135"/>
      <c r="I635" s="206"/>
      <c r="J635" s="206"/>
      <c r="K635" s="206"/>
      <c r="L635" s="137"/>
      <c r="M635" s="163"/>
      <c r="N635" s="163"/>
      <c r="O635" s="163"/>
      <c r="P635" s="205"/>
      <c r="Q635" s="236">
        <f t="shared" si="255"/>
        <v>0</v>
      </c>
      <c r="R635" s="236">
        <f t="shared" si="256"/>
        <v>0</v>
      </c>
      <c r="S635" s="236"/>
      <c r="T635" s="236"/>
      <c r="U635" s="236">
        <f t="shared" si="257"/>
        <v>0</v>
      </c>
      <c r="V635" s="236"/>
      <c r="W635" s="232">
        <f t="shared" si="258"/>
        <v>0</v>
      </c>
      <c r="X635" s="236"/>
      <c r="Y635" s="236"/>
      <c r="Z635" s="236"/>
    </row>
    <row r="636" spans="1:26" hidden="1" outlineLevel="2">
      <c r="A636" s="19"/>
      <c r="B636" s="323"/>
      <c r="C636" s="207"/>
      <c r="D636" s="208"/>
      <c r="E636" s="133"/>
      <c r="F636" s="261"/>
      <c r="G636" s="138"/>
      <c r="H636" s="135"/>
      <c r="I636" s="206"/>
      <c r="J636" s="206"/>
      <c r="K636" s="206"/>
      <c r="L636" s="137"/>
      <c r="M636" s="163"/>
      <c r="N636" s="163"/>
      <c r="O636" s="163"/>
      <c r="P636" s="205"/>
      <c r="Q636" s="236">
        <f t="shared" si="255"/>
        <v>0</v>
      </c>
      <c r="R636" s="236">
        <f t="shared" si="256"/>
        <v>0</v>
      </c>
      <c r="S636" s="236"/>
      <c r="T636" s="236"/>
      <c r="U636" s="236">
        <f t="shared" si="257"/>
        <v>0</v>
      </c>
      <c r="V636" s="236"/>
      <c r="W636" s="232">
        <f t="shared" si="258"/>
        <v>0</v>
      </c>
      <c r="X636" s="236"/>
      <c r="Y636" s="236"/>
      <c r="Z636" s="236"/>
    </row>
    <row r="637" spans="1:26" hidden="1" outlineLevel="2">
      <c r="A637" s="19"/>
      <c r="B637" s="323"/>
      <c r="C637" s="207"/>
      <c r="D637" s="208"/>
      <c r="E637" s="133"/>
      <c r="F637" s="261"/>
      <c r="G637" s="138"/>
      <c r="H637" s="135"/>
      <c r="I637" s="206"/>
      <c r="J637" s="206"/>
      <c r="K637" s="206"/>
      <c r="L637" s="137"/>
      <c r="M637" s="163"/>
      <c r="N637" s="163"/>
      <c r="O637" s="163"/>
      <c r="P637" s="205"/>
      <c r="Q637" s="236">
        <f t="shared" si="255"/>
        <v>0</v>
      </c>
      <c r="R637" s="236">
        <f t="shared" si="256"/>
        <v>0</v>
      </c>
      <c r="S637" s="236"/>
      <c r="T637" s="236"/>
      <c r="U637" s="236">
        <f t="shared" si="257"/>
        <v>0</v>
      </c>
      <c r="V637" s="236"/>
      <c r="W637" s="232">
        <f t="shared" si="258"/>
        <v>0</v>
      </c>
      <c r="X637" s="236"/>
      <c r="Y637" s="236"/>
      <c r="Z637" s="236"/>
    </row>
    <row r="638" spans="1:26" hidden="1" outlineLevel="2">
      <c r="A638" s="160"/>
      <c r="B638" s="323"/>
      <c r="C638" s="207"/>
      <c r="D638" s="208"/>
      <c r="E638" s="133"/>
      <c r="F638" s="261"/>
      <c r="G638" s="138"/>
      <c r="H638" s="139"/>
      <c r="I638" s="206"/>
      <c r="J638" s="206"/>
      <c r="K638" s="206"/>
      <c r="L638" s="137"/>
      <c r="M638" s="74"/>
      <c r="N638" s="74"/>
      <c r="O638" s="234"/>
      <c r="P638" s="205"/>
      <c r="Q638" s="236">
        <f t="shared" si="255"/>
        <v>0</v>
      </c>
      <c r="R638" s="236">
        <f t="shared" si="256"/>
        <v>0</v>
      </c>
      <c r="S638" s="235"/>
      <c r="T638" s="235"/>
      <c r="U638" s="236">
        <f t="shared" si="257"/>
        <v>0</v>
      </c>
      <c r="V638" s="235"/>
      <c r="W638" s="232">
        <f t="shared" si="258"/>
        <v>0</v>
      </c>
      <c r="X638" s="235"/>
      <c r="Y638" s="235"/>
      <c r="Z638" s="235"/>
    </row>
    <row r="639" spans="1:26" hidden="1" outlineLevel="2">
      <c r="A639" s="160"/>
      <c r="B639" s="323"/>
      <c r="C639" s="207"/>
      <c r="D639" s="208"/>
      <c r="E639" s="133"/>
      <c r="F639" s="261"/>
      <c r="G639" s="138"/>
      <c r="H639" s="139"/>
      <c r="I639" s="206"/>
      <c r="J639" s="206"/>
      <c r="K639" s="206"/>
      <c r="L639" s="137"/>
      <c r="M639" s="74"/>
      <c r="N639" s="19"/>
      <c r="O639" s="234"/>
      <c r="P639" s="205"/>
      <c r="Q639" s="236">
        <f t="shared" si="255"/>
        <v>0</v>
      </c>
      <c r="R639" s="236">
        <f t="shared" si="256"/>
        <v>0</v>
      </c>
      <c r="S639" s="235"/>
      <c r="T639" s="235"/>
      <c r="U639" s="236">
        <f t="shared" si="257"/>
        <v>0</v>
      </c>
      <c r="V639" s="235"/>
      <c r="W639" s="232">
        <f t="shared" si="258"/>
        <v>0</v>
      </c>
      <c r="X639" s="235"/>
      <c r="Y639" s="235"/>
      <c r="Z639" s="235"/>
    </row>
    <row r="640" spans="1:26" hidden="1" outlineLevel="2">
      <c r="A640" s="160"/>
      <c r="B640" s="323"/>
      <c r="C640" s="207"/>
      <c r="D640" s="208"/>
      <c r="E640" s="133"/>
      <c r="F640" s="261"/>
      <c r="G640" s="138"/>
      <c r="H640" s="139"/>
      <c r="I640" s="206"/>
      <c r="J640" s="206"/>
      <c r="K640" s="206"/>
      <c r="L640" s="137"/>
      <c r="M640" s="74"/>
      <c r="N640" s="19"/>
      <c r="O640" s="234"/>
      <c r="P640" s="205"/>
      <c r="Q640" s="236">
        <f t="shared" si="255"/>
        <v>0</v>
      </c>
      <c r="R640" s="236">
        <f>SUM(S640:T640)</f>
        <v>0</v>
      </c>
      <c r="S640" s="235"/>
      <c r="T640" s="235"/>
      <c r="U640" s="236">
        <f t="shared" si="257"/>
        <v>0</v>
      </c>
      <c r="V640" s="235"/>
      <c r="W640" s="232">
        <f t="shared" si="258"/>
        <v>0</v>
      </c>
      <c r="X640" s="235"/>
      <c r="Y640" s="235"/>
      <c r="Z640" s="235"/>
    </row>
    <row r="641" spans="1:26" hidden="1" outlineLevel="2">
      <c r="A641" s="19"/>
      <c r="B641" s="323"/>
      <c r="C641" s="207"/>
      <c r="D641" s="208"/>
      <c r="E641" s="133"/>
      <c r="F641" s="261"/>
      <c r="G641" s="138"/>
      <c r="H641" s="135"/>
      <c r="I641" s="206"/>
      <c r="J641" s="206"/>
      <c r="K641" s="206"/>
      <c r="L641" s="137"/>
      <c r="M641" s="163"/>
      <c r="N641" s="163"/>
      <c r="O641" s="163"/>
      <c r="P641" s="205"/>
      <c r="Q641" s="236">
        <f>SUM(R641,U641)</f>
        <v>0</v>
      </c>
      <c r="R641" s="236">
        <f>SUM(S641:T641)</f>
        <v>0</v>
      </c>
      <c r="S641" s="236"/>
      <c r="T641" s="236"/>
      <c r="U641" s="236">
        <f>SUM(V641:Y641)</f>
        <v>0</v>
      </c>
      <c r="V641" s="236"/>
      <c r="W641" s="232">
        <f>V641*0.304</f>
        <v>0</v>
      </c>
      <c r="X641" s="236"/>
      <c r="Y641" s="236"/>
      <c r="Z641" s="236"/>
    </row>
    <row r="642" spans="1:26" hidden="1" outlineLevel="2">
      <c r="A642" s="19"/>
      <c r="B642" s="323"/>
      <c r="C642" s="207"/>
      <c r="D642" s="208"/>
      <c r="E642" s="133"/>
      <c r="F642" s="261"/>
      <c r="G642" s="138"/>
      <c r="H642" s="135"/>
      <c r="I642" s="206"/>
      <c r="J642" s="206"/>
      <c r="K642" s="206"/>
      <c r="L642" s="137"/>
      <c r="M642" s="163"/>
      <c r="N642" s="163"/>
      <c r="O642" s="163"/>
      <c r="P642" s="205"/>
      <c r="Q642" s="236">
        <f t="shared" ref="Q642:Q648" si="259">SUM(R642,U642)</f>
        <v>0</v>
      </c>
      <c r="R642" s="236">
        <f t="shared" ref="R642:R647" si="260">SUM(S642:T642)</f>
        <v>0</v>
      </c>
      <c r="S642" s="236"/>
      <c r="T642" s="236"/>
      <c r="U642" s="236">
        <f t="shared" ref="U642:U648" si="261">SUM(V642:Y642)</f>
        <v>0</v>
      </c>
      <c r="V642" s="236"/>
      <c r="W642" s="232">
        <f t="shared" ref="W642:W648" si="262">V642*0.304</f>
        <v>0</v>
      </c>
      <c r="X642" s="236"/>
      <c r="Y642" s="236"/>
      <c r="Z642" s="236"/>
    </row>
    <row r="643" spans="1:26" hidden="1" outlineLevel="2">
      <c r="A643" s="19"/>
      <c r="B643" s="323"/>
      <c r="C643" s="207"/>
      <c r="D643" s="208"/>
      <c r="E643" s="133"/>
      <c r="F643" s="261"/>
      <c r="G643" s="138"/>
      <c r="H643" s="135"/>
      <c r="I643" s="206"/>
      <c r="J643" s="206"/>
      <c r="K643" s="206"/>
      <c r="L643" s="137"/>
      <c r="M643" s="163"/>
      <c r="N643" s="163"/>
      <c r="O643" s="163"/>
      <c r="P643" s="205"/>
      <c r="Q643" s="236">
        <f t="shared" si="259"/>
        <v>0</v>
      </c>
      <c r="R643" s="236">
        <f t="shared" si="260"/>
        <v>0</v>
      </c>
      <c r="S643" s="236"/>
      <c r="T643" s="236"/>
      <c r="U643" s="236">
        <f t="shared" si="261"/>
        <v>0</v>
      </c>
      <c r="V643" s="236"/>
      <c r="W643" s="232">
        <f t="shared" si="262"/>
        <v>0</v>
      </c>
      <c r="X643" s="236"/>
      <c r="Y643" s="236"/>
      <c r="Z643" s="236"/>
    </row>
    <row r="644" spans="1:26" hidden="1" outlineLevel="2">
      <c r="A644" s="19"/>
      <c r="B644" s="323"/>
      <c r="C644" s="207"/>
      <c r="D644" s="208"/>
      <c r="E644" s="133"/>
      <c r="F644" s="261"/>
      <c r="G644" s="138"/>
      <c r="H644" s="135"/>
      <c r="I644" s="206"/>
      <c r="J644" s="206"/>
      <c r="K644" s="206"/>
      <c r="L644" s="137"/>
      <c r="M644" s="163"/>
      <c r="N644" s="163"/>
      <c r="O644" s="163"/>
      <c r="P644" s="205"/>
      <c r="Q644" s="236">
        <f t="shared" si="259"/>
        <v>0</v>
      </c>
      <c r="R644" s="236">
        <f t="shared" si="260"/>
        <v>0</v>
      </c>
      <c r="S644" s="236"/>
      <c r="T644" s="236"/>
      <c r="U644" s="236">
        <f t="shared" si="261"/>
        <v>0</v>
      </c>
      <c r="V644" s="236"/>
      <c r="W644" s="232">
        <f t="shared" si="262"/>
        <v>0</v>
      </c>
      <c r="X644" s="236"/>
      <c r="Y644" s="236"/>
      <c r="Z644" s="236"/>
    </row>
    <row r="645" spans="1:26" hidden="1" outlineLevel="2">
      <c r="A645" s="19"/>
      <c r="B645" s="323"/>
      <c r="C645" s="207"/>
      <c r="D645" s="208"/>
      <c r="E645" s="133"/>
      <c r="F645" s="261"/>
      <c r="G645" s="138"/>
      <c r="H645" s="135"/>
      <c r="I645" s="206"/>
      <c r="J645" s="206"/>
      <c r="K645" s="206"/>
      <c r="L645" s="137"/>
      <c r="M645" s="163"/>
      <c r="N645" s="163"/>
      <c r="O645" s="163"/>
      <c r="P645" s="205"/>
      <c r="Q645" s="236">
        <f t="shared" si="259"/>
        <v>0</v>
      </c>
      <c r="R645" s="236">
        <f t="shared" si="260"/>
        <v>0</v>
      </c>
      <c r="S645" s="236"/>
      <c r="T645" s="236"/>
      <c r="U645" s="236">
        <f t="shared" si="261"/>
        <v>0</v>
      </c>
      <c r="V645" s="236"/>
      <c r="W645" s="232">
        <f t="shared" si="262"/>
        <v>0</v>
      </c>
      <c r="X645" s="236"/>
      <c r="Y645" s="236"/>
      <c r="Z645" s="236"/>
    </row>
    <row r="646" spans="1:26" hidden="1" outlineLevel="2">
      <c r="A646" s="160"/>
      <c r="B646" s="323"/>
      <c r="C646" s="207"/>
      <c r="D646" s="208"/>
      <c r="E646" s="133"/>
      <c r="F646" s="261"/>
      <c r="G646" s="138"/>
      <c r="H646" s="139"/>
      <c r="I646" s="206"/>
      <c r="J646" s="206"/>
      <c r="K646" s="206"/>
      <c r="L646" s="137"/>
      <c r="M646" s="74"/>
      <c r="N646" s="74"/>
      <c r="O646" s="234"/>
      <c r="P646" s="205"/>
      <c r="Q646" s="236">
        <f t="shared" si="259"/>
        <v>0</v>
      </c>
      <c r="R646" s="236">
        <f t="shared" si="260"/>
        <v>0</v>
      </c>
      <c r="S646" s="235"/>
      <c r="T646" s="235"/>
      <c r="U646" s="236">
        <f t="shared" si="261"/>
        <v>0</v>
      </c>
      <c r="V646" s="235"/>
      <c r="W646" s="232">
        <f t="shared" si="262"/>
        <v>0</v>
      </c>
      <c r="X646" s="235"/>
      <c r="Y646" s="235"/>
      <c r="Z646" s="235"/>
    </row>
    <row r="647" spans="1:26" hidden="1" outlineLevel="2">
      <c r="A647" s="160"/>
      <c r="B647" s="323"/>
      <c r="C647" s="207"/>
      <c r="D647" s="208"/>
      <c r="E647" s="133"/>
      <c r="F647" s="261"/>
      <c r="G647" s="138"/>
      <c r="H647" s="139"/>
      <c r="I647" s="206"/>
      <c r="J647" s="206"/>
      <c r="K647" s="206"/>
      <c r="L647" s="137"/>
      <c r="M647" s="74"/>
      <c r="N647" s="19"/>
      <c r="O647" s="234"/>
      <c r="P647" s="205"/>
      <c r="Q647" s="236">
        <f t="shared" si="259"/>
        <v>0</v>
      </c>
      <c r="R647" s="236">
        <f t="shared" si="260"/>
        <v>0</v>
      </c>
      <c r="S647" s="235"/>
      <c r="T647" s="235"/>
      <c r="U647" s="236">
        <f t="shared" si="261"/>
        <v>0</v>
      </c>
      <c r="V647" s="235"/>
      <c r="W647" s="232">
        <f t="shared" si="262"/>
        <v>0</v>
      </c>
      <c r="X647" s="235"/>
      <c r="Y647" s="235"/>
      <c r="Z647" s="235"/>
    </row>
    <row r="648" spans="1:26" hidden="1" outlineLevel="2">
      <c r="A648" s="160"/>
      <c r="B648" s="323"/>
      <c r="C648" s="207"/>
      <c r="D648" s="208"/>
      <c r="E648" s="133"/>
      <c r="F648" s="261"/>
      <c r="G648" s="138"/>
      <c r="H648" s="139"/>
      <c r="I648" s="206"/>
      <c r="J648" s="206"/>
      <c r="K648" s="206"/>
      <c r="L648" s="137"/>
      <c r="M648" s="74"/>
      <c r="N648" s="19"/>
      <c r="O648" s="234"/>
      <c r="P648" s="205"/>
      <c r="Q648" s="236">
        <f t="shared" si="259"/>
        <v>0</v>
      </c>
      <c r="R648" s="236">
        <f>SUM(S648:T648)</f>
        <v>0</v>
      </c>
      <c r="S648" s="235"/>
      <c r="T648" s="235"/>
      <c r="U648" s="236">
        <f t="shared" si="261"/>
        <v>0</v>
      </c>
      <c r="V648" s="235"/>
      <c r="W648" s="232">
        <f t="shared" si="262"/>
        <v>0</v>
      </c>
      <c r="X648" s="235"/>
      <c r="Y648" s="235"/>
      <c r="Z648" s="235"/>
    </row>
    <row r="649" spans="1:26" hidden="1" outlineLevel="2">
      <c r="A649" s="160"/>
      <c r="B649" s="74"/>
      <c r="C649" s="207"/>
      <c r="D649" s="208"/>
      <c r="E649" s="133"/>
      <c r="F649" s="261"/>
      <c r="G649" s="138"/>
      <c r="H649" s="139"/>
      <c r="I649" s="206"/>
      <c r="J649" s="206"/>
      <c r="K649" s="206"/>
      <c r="L649" s="137"/>
      <c r="M649" s="74"/>
      <c r="N649" s="19"/>
      <c r="O649" s="234"/>
      <c r="P649" s="205"/>
      <c r="Q649" s="235"/>
      <c r="R649" s="235"/>
      <c r="S649" s="235"/>
      <c r="T649" s="235"/>
      <c r="U649" s="235"/>
      <c r="V649" s="235"/>
      <c r="W649" s="235"/>
      <c r="X649" s="235"/>
      <c r="Y649" s="235"/>
      <c r="Z649" s="235"/>
    </row>
    <row r="650" spans="1:26" s="75" customFormat="1" outlineLevel="1" collapsed="1">
      <c r="A650" s="237"/>
      <c r="B650" s="238"/>
      <c r="C650" s="239"/>
      <c r="D650" s="240"/>
      <c r="E650" s="241"/>
      <c r="F650" s="264"/>
      <c r="G650" s="242"/>
      <c r="H650" s="243"/>
      <c r="I650" s="244"/>
      <c r="J650" s="244"/>
      <c r="K650" s="244"/>
      <c r="L650" s="150" t="str">
        <f>CONCATENATE(L651," ",N651,M651," ",L652," ",N652,M652," ",L653," ",N653,M653," ",L654," ",N654,M654," ",L655," ",N655,M655," ",L656," ",N656,M656," ",L657," ",N657,M657," ",L658," ",N658,M658," ",L659," ",N659,M659," ",L660," ",N660,M660," "," ",L661," ",N661,M661," ",L662," ",N662,M662," ",L663," ",N663,M663," ",L664," ",N664,M664," ",L665," ",N665,M665," ",L666," ",N666,M666)</f>
        <v xml:space="preserve">                                </v>
      </c>
      <c r="M650" s="243"/>
      <c r="N650" s="243"/>
      <c r="O650" s="287">
        <f>SUM(O659:O666)</f>
        <v>0</v>
      </c>
      <c r="P650" s="245"/>
      <c r="Q650" s="246">
        <f>SUM(Q659:Q666)</f>
        <v>0</v>
      </c>
      <c r="R650" s="246">
        <f t="shared" ref="R650:Y650" si="263">SUM(R659:R666)</f>
        <v>0</v>
      </c>
      <c r="S650" s="246">
        <f t="shared" si="263"/>
        <v>0</v>
      </c>
      <c r="T650" s="246">
        <f t="shared" si="263"/>
        <v>0</v>
      </c>
      <c r="U650" s="246">
        <f t="shared" si="263"/>
        <v>0</v>
      </c>
      <c r="V650" s="246">
        <f t="shared" si="263"/>
        <v>0</v>
      </c>
      <c r="W650" s="246">
        <f t="shared" si="263"/>
        <v>0</v>
      </c>
      <c r="X650" s="246">
        <f t="shared" si="263"/>
        <v>0</v>
      </c>
      <c r="Y650" s="246">
        <f t="shared" si="263"/>
        <v>0</v>
      </c>
      <c r="Z650" s="246">
        <f>SUM(Z659:Z666)</f>
        <v>0</v>
      </c>
    </row>
    <row r="651" spans="1:26" hidden="1" outlineLevel="2">
      <c r="A651" s="19"/>
      <c r="B651" s="323"/>
      <c r="C651" s="207"/>
      <c r="D651" s="208"/>
      <c r="E651" s="133"/>
      <c r="F651" s="261"/>
      <c r="G651" s="138"/>
      <c r="H651" s="135"/>
      <c r="I651" s="206"/>
      <c r="J651" s="206"/>
      <c r="K651" s="206"/>
      <c r="L651" s="137"/>
      <c r="M651" s="163"/>
      <c r="N651" s="163"/>
      <c r="O651" s="163"/>
      <c r="P651" s="205"/>
      <c r="Q651" s="236">
        <f>SUM(R651,U651)</f>
        <v>0</v>
      </c>
      <c r="R651" s="236">
        <f>SUM(S651:T651)</f>
        <v>0</v>
      </c>
      <c r="S651" s="236"/>
      <c r="T651" s="236"/>
      <c r="U651" s="236">
        <f>SUM(V651:Y651)</f>
        <v>0</v>
      </c>
      <c r="V651" s="236"/>
      <c r="W651" s="232">
        <f>V651*0.304</f>
        <v>0</v>
      </c>
      <c r="X651" s="236"/>
      <c r="Y651" s="236"/>
      <c r="Z651" s="236"/>
    </row>
    <row r="652" spans="1:26" hidden="1" outlineLevel="2">
      <c r="A652" s="19"/>
      <c r="B652" s="323"/>
      <c r="C652" s="207"/>
      <c r="D652" s="208"/>
      <c r="E652" s="133"/>
      <c r="F652" s="261"/>
      <c r="G652" s="138"/>
      <c r="H652" s="135"/>
      <c r="I652" s="206"/>
      <c r="J652" s="206"/>
      <c r="K652" s="206"/>
      <c r="L652" s="137"/>
      <c r="M652" s="163"/>
      <c r="N652" s="163"/>
      <c r="O652" s="163"/>
      <c r="P652" s="205"/>
      <c r="Q652" s="236">
        <f t="shared" ref="Q652:Q658" si="264">SUM(R652,U652)</f>
        <v>0</v>
      </c>
      <c r="R652" s="236">
        <f t="shared" ref="R652:R657" si="265">SUM(S652:T652)</f>
        <v>0</v>
      </c>
      <c r="S652" s="236"/>
      <c r="T652" s="236"/>
      <c r="U652" s="236">
        <f t="shared" ref="U652:U658" si="266">SUM(V652:Y652)</f>
        <v>0</v>
      </c>
      <c r="V652" s="236"/>
      <c r="W652" s="232">
        <f t="shared" ref="W652:W658" si="267">V652*0.304</f>
        <v>0</v>
      </c>
      <c r="X652" s="236"/>
      <c r="Y652" s="236"/>
      <c r="Z652" s="236"/>
    </row>
    <row r="653" spans="1:26" hidden="1" outlineLevel="2">
      <c r="A653" s="19"/>
      <c r="B653" s="323"/>
      <c r="C653" s="207"/>
      <c r="D653" s="208"/>
      <c r="E653" s="133"/>
      <c r="F653" s="261"/>
      <c r="G653" s="138"/>
      <c r="H653" s="135"/>
      <c r="I653" s="206"/>
      <c r="J653" s="206"/>
      <c r="K653" s="206"/>
      <c r="L653" s="137"/>
      <c r="M653" s="163"/>
      <c r="N653" s="163"/>
      <c r="O653" s="163"/>
      <c r="P653" s="205"/>
      <c r="Q653" s="236">
        <f t="shared" si="264"/>
        <v>0</v>
      </c>
      <c r="R653" s="236">
        <f t="shared" si="265"/>
        <v>0</v>
      </c>
      <c r="S653" s="236"/>
      <c r="T653" s="236"/>
      <c r="U653" s="236">
        <f t="shared" si="266"/>
        <v>0</v>
      </c>
      <c r="V653" s="236"/>
      <c r="W653" s="232">
        <f t="shared" si="267"/>
        <v>0</v>
      </c>
      <c r="X653" s="236"/>
      <c r="Y653" s="236"/>
      <c r="Z653" s="236"/>
    </row>
    <row r="654" spans="1:26" hidden="1" outlineLevel="2">
      <c r="A654" s="19"/>
      <c r="B654" s="323"/>
      <c r="C654" s="207"/>
      <c r="D654" s="208"/>
      <c r="E654" s="133"/>
      <c r="F654" s="261"/>
      <c r="G654" s="138"/>
      <c r="H654" s="135"/>
      <c r="I654" s="206"/>
      <c r="J654" s="206"/>
      <c r="K654" s="206"/>
      <c r="L654" s="137"/>
      <c r="M654" s="163"/>
      <c r="N654" s="163"/>
      <c r="O654" s="163"/>
      <c r="P654" s="205"/>
      <c r="Q654" s="236">
        <f t="shared" si="264"/>
        <v>0</v>
      </c>
      <c r="R654" s="236">
        <f t="shared" si="265"/>
        <v>0</v>
      </c>
      <c r="S654" s="236"/>
      <c r="T654" s="236"/>
      <c r="U654" s="236">
        <f t="shared" si="266"/>
        <v>0</v>
      </c>
      <c r="V654" s="236"/>
      <c r="W654" s="232">
        <f t="shared" si="267"/>
        <v>0</v>
      </c>
      <c r="X654" s="236"/>
      <c r="Y654" s="236"/>
      <c r="Z654" s="236"/>
    </row>
    <row r="655" spans="1:26" hidden="1" outlineLevel="2">
      <c r="A655" s="19"/>
      <c r="B655" s="323"/>
      <c r="C655" s="207"/>
      <c r="D655" s="208"/>
      <c r="E655" s="133"/>
      <c r="F655" s="261"/>
      <c r="G655" s="138"/>
      <c r="H655" s="135"/>
      <c r="I655" s="206"/>
      <c r="J655" s="206"/>
      <c r="K655" s="206"/>
      <c r="L655" s="137"/>
      <c r="M655" s="163"/>
      <c r="N655" s="163"/>
      <c r="O655" s="163"/>
      <c r="P655" s="205"/>
      <c r="Q655" s="236">
        <f t="shared" si="264"/>
        <v>0</v>
      </c>
      <c r="R655" s="236">
        <f t="shared" si="265"/>
        <v>0</v>
      </c>
      <c r="S655" s="236"/>
      <c r="T655" s="236"/>
      <c r="U655" s="236">
        <f t="shared" si="266"/>
        <v>0</v>
      </c>
      <c r="V655" s="236"/>
      <c r="W655" s="232">
        <f t="shared" si="267"/>
        <v>0</v>
      </c>
      <c r="X655" s="236"/>
      <c r="Y655" s="236"/>
      <c r="Z655" s="236"/>
    </row>
    <row r="656" spans="1:26" hidden="1" outlineLevel="2">
      <c r="A656" s="160"/>
      <c r="B656" s="323"/>
      <c r="C656" s="207"/>
      <c r="D656" s="208"/>
      <c r="E656" s="133"/>
      <c r="F656" s="261"/>
      <c r="G656" s="138"/>
      <c r="H656" s="139"/>
      <c r="I656" s="206"/>
      <c r="J656" s="206"/>
      <c r="K656" s="206"/>
      <c r="L656" s="137"/>
      <c r="M656" s="74"/>
      <c r="N656" s="74"/>
      <c r="O656" s="234"/>
      <c r="P656" s="205"/>
      <c r="Q656" s="236">
        <f t="shared" si="264"/>
        <v>0</v>
      </c>
      <c r="R656" s="236">
        <f t="shared" si="265"/>
        <v>0</v>
      </c>
      <c r="S656" s="235"/>
      <c r="T656" s="235"/>
      <c r="U656" s="236">
        <f t="shared" si="266"/>
        <v>0</v>
      </c>
      <c r="V656" s="235"/>
      <c r="W656" s="232">
        <f t="shared" si="267"/>
        <v>0</v>
      </c>
      <c r="X656" s="235"/>
      <c r="Y656" s="235"/>
      <c r="Z656" s="235"/>
    </row>
    <row r="657" spans="1:26" hidden="1" outlineLevel="2">
      <c r="A657" s="160"/>
      <c r="B657" s="323"/>
      <c r="C657" s="207"/>
      <c r="D657" s="208"/>
      <c r="E657" s="133"/>
      <c r="F657" s="261"/>
      <c r="G657" s="138"/>
      <c r="H657" s="139"/>
      <c r="I657" s="206"/>
      <c r="J657" s="206"/>
      <c r="K657" s="206"/>
      <c r="L657" s="137"/>
      <c r="M657" s="74"/>
      <c r="N657" s="19"/>
      <c r="O657" s="234"/>
      <c r="P657" s="205"/>
      <c r="Q657" s="236">
        <f t="shared" si="264"/>
        <v>0</v>
      </c>
      <c r="R657" s="236">
        <f t="shared" si="265"/>
        <v>0</v>
      </c>
      <c r="S657" s="235"/>
      <c r="T657" s="235"/>
      <c r="U657" s="236">
        <f t="shared" si="266"/>
        <v>0</v>
      </c>
      <c r="V657" s="235"/>
      <c r="W657" s="232">
        <f t="shared" si="267"/>
        <v>0</v>
      </c>
      <c r="X657" s="235"/>
      <c r="Y657" s="235"/>
      <c r="Z657" s="235"/>
    </row>
    <row r="658" spans="1:26" hidden="1" outlineLevel="2">
      <c r="A658" s="160"/>
      <c r="B658" s="323"/>
      <c r="C658" s="207"/>
      <c r="D658" s="208"/>
      <c r="E658" s="133"/>
      <c r="F658" s="261"/>
      <c r="G658" s="138"/>
      <c r="H658" s="139"/>
      <c r="I658" s="206"/>
      <c r="J658" s="206"/>
      <c r="K658" s="206"/>
      <c r="L658" s="137"/>
      <c r="M658" s="74"/>
      <c r="N658" s="19"/>
      <c r="O658" s="234"/>
      <c r="P658" s="205"/>
      <c r="Q658" s="236">
        <f t="shared" si="264"/>
        <v>0</v>
      </c>
      <c r="R658" s="236">
        <f>SUM(S658:T658)</f>
        <v>0</v>
      </c>
      <c r="S658" s="235"/>
      <c r="T658" s="235"/>
      <c r="U658" s="236">
        <f t="shared" si="266"/>
        <v>0</v>
      </c>
      <c r="V658" s="235"/>
      <c r="W658" s="232">
        <f t="shared" si="267"/>
        <v>0</v>
      </c>
      <c r="X658" s="235"/>
      <c r="Y658" s="235"/>
      <c r="Z658" s="235"/>
    </row>
    <row r="659" spans="1:26" hidden="1" outlineLevel="2">
      <c r="A659" s="19"/>
      <c r="B659" s="323"/>
      <c r="C659" s="207"/>
      <c r="D659" s="208"/>
      <c r="E659" s="133"/>
      <c r="F659" s="261"/>
      <c r="G659" s="138"/>
      <c r="H659" s="135"/>
      <c r="I659" s="206"/>
      <c r="J659" s="206"/>
      <c r="K659" s="206"/>
      <c r="L659" s="137"/>
      <c r="M659" s="163"/>
      <c r="N659" s="163"/>
      <c r="O659" s="163"/>
      <c r="P659" s="205"/>
      <c r="Q659" s="236">
        <f>SUM(R659,U659)</f>
        <v>0</v>
      </c>
      <c r="R659" s="236">
        <f>SUM(S659:T659)</f>
        <v>0</v>
      </c>
      <c r="S659" s="236"/>
      <c r="T659" s="236"/>
      <c r="U659" s="236">
        <f>SUM(V659:Y659)</f>
        <v>0</v>
      </c>
      <c r="V659" s="236"/>
      <c r="W659" s="232">
        <f>V659*0.304</f>
        <v>0</v>
      </c>
      <c r="X659" s="236"/>
      <c r="Y659" s="236"/>
      <c r="Z659" s="236"/>
    </row>
    <row r="660" spans="1:26" hidden="1" outlineLevel="2">
      <c r="A660" s="19"/>
      <c r="B660" s="323"/>
      <c r="C660" s="207"/>
      <c r="D660" s="208"/>
      <c r="E660" s="133"/>
      <c r="F660" s="261"/>
      <c r="G660" s="138"/>
      <c r="H660" s="135"/>
      <c r="I660" s="206"/>
      <c r="J660" s="206"/>
      <c r="K660" s="206"/>
      <c r="L660" s="137"/>
      <c r="M660" s="163"/>
      <c r="N660" s="163"/>
      <c r="O660" s="163"/>
      <c r="P660" s="205"/>
      <c r="Q660" s="236">
        <f t="shared" ref="Q660:Q666" si="268">SUM(R660,U660)</f>
        <v>0</v>
      </c>
      <c r="R660" s="236">
        <f t="shared" ref="R660:R665" si="269">SUM(S660:T660)</f>
        <v>0</v>
      </c>
      <c r="S660" s="236"/>
      <c r="T660" s="236"/>
      <c r="U660" s="236">
        <f t="shared" ref="U660:U666" si="270">SUM(V660:Y660)</f>
        <v>0</v>
      </c>
      <c r="V660" s="236"/>
      <c r="W660" s="232">
        <f t="shared" ref="W660:W666" si="271">V660*0.304</f>
        <v>0</v>
      </c>
      <c r="X660" s="236"/>
      <c r="Y660" s="236"/>
      <c r="Z660" s="236"/>
    </row>
    <row r="661" spans="1:26" hidden="1" outlineLevel="2">
      <c r="A661" s="19"/>
      <c r="B661" s="323"/>
      <c r="C661" s="207"/>
      <c r="D661" s="208"/>
      <c r="E661" s="133"/>
      <c r="F661" s="261"/>
      <c r="G661" s="138"/>
      <c r="H661" s="135"/>
      <c r="I661" s="206"/>
      <c r="J661" s="206"/>
      <c r="K661" s="206"/>
      <c r="L661" s="137"/>
      <c r="M661" s="163"/>
      <c r="N661" s="163"/>
      <c r="O661" s="163"/>
      <c r="P661" s="205"/>
      <c r="Q661" s="236">
        <f t="shared" si="268"/>
        <v>0</v>
      </c>
      <c r="R661" s="236">
        <f t="shared" si="269"/>
        <v>0</v>
      </c>
      <c r="S661" s="236"/>
      <c r="T661" s="236"/>
      <c r="U661" s="236">
        <f t="shared" si="270"/>
        <v>0</v>
      </c>
      <c r="V661" s="236"/>
      <c r="W661" s="232">
        <f t="shared" si="271"/>
        <v>0</v>
      </c>
      <c r="X661" s="236"/>
      <c r="Y661" s="236"/>
      <c r="Z661" s="236"/>
    </row>
    <row r="662" spans="1:26" hidden="1" outlineLevel="2">
      <c r="A662" s="19"/>
      <c r="B662" s="323"/>
      <c r="C662" s="207"/>
      <c r="D662" s="208"/>
      <c r="E662" s="133"/>
      <c r="F662" s="261"/>
      <c r="G662" s="138"/>
      <c r="H662" s="135"/>
      <c r="I662" s="206"/>
      <c r="J662" s="206"/>
      <c r="K662" s="206"/>
      <c r="L662" s="137"/>
      <c r="M662" s="163"/>
      <c r="N662" s="163"/>
      <c r="O662" s="163"/>
      <c r="P662" s="205"/>
      <c r="Q662" s="236">
        <f t="shared" si="268"/>
        <v>0</v>
      </c>
      <c r="R662" s="236">
        <f t="shared" si="269"/>
        <v>0</v>
      </c>
      <c r="S662" s="236"/>
      <c r="T662" s="236"/>
      <c r="U662" s="236">
        <f t="shared" si="270"/>
        <v>0</v>
      </c>
      <c r="V662" s="236"/>
      <c r="W662" s="232">
        <f t="shared" si="271"/>
        <v>0</v>
      </c>
      <c r="X662" s="236"/>
      <c r="Y662" s="236"/>
      <c r="Z662" s="236"/>
    </row>
    <row r="663" spans="1:26" hidden="1" outlineLevel="2">
      <c r="A663" s="19"/>
      <c r="B663" s="323"/>
      <c r="C663" s="207"/>
      <c r="D663" s="208"/>
      <c r="E663" s="133"/>
      <c r="F663" s="261"/>
      <c r="G663" s="138"/>
      <c r="H663" s="135"/>
      <c r="I663" s="206"/>
      <c r="J663" s="206"/>
      <c r="K663" s="206"/>
      <c r="L663" s="137"/>
      <c r="M663" s="163"/>
      <c r="N663" s="163"/>
      <c r="O663" s="163"/>
      <c r="P663" s="205"/>
      <c r="Q663" s="236">
        <f t="shared" si="268"/>
        <v>0</v>
      </c>
      <c r="R663" s="236">
        <f t="shared" si="269"/>
        <v>0</v>
      </c>
      <c r="S663" s="236"/>
      <c r="T663" s="236"/>
      <c r="U663" s="236">
        <f t="shared" si="270"/>
        <v>0</v>
      </c>
      <c r="V663" s="236"/>
      <c r="W663" s="232">
        <f t="shared" si="271"/>
        <v>0</v>
      </c>
      <c r="X663" s="236"/>
      <c r="Y663" s="236"/>
      <c r="Z663" s="236"/>
    </row>
    <row r="664" spans="1:26" hidden="1" outlineLevel="2">
      <c r="A664" s="160"/>
      <c r="B664" s="323"/>
      <c r="C664" s="207"/>
      <c r="D664" s="208"/>
      <c r="E664" s="133"/>
      <c r="F664" s="261"/>
      <c r="G664" s="138"/>
      <c r="H664" s="139"/>
      <c r="I664" s="206"/>
      <c r="J664" s="206"/>
      <c r="K664" s="206"/>
      <c r="L664" s="137"/>
      <c r="M664" s="74"/>
      <c r="N664" s="74"/>
      <c r="O664" s="234"/>
      <c r="P664" s="205"/>
      <c r="Q664" s="236">
        <f t="shared" si="268"/>
        <v>0</v>
      </c>
      <c r="R664" s="236">
        <f t="shared" si="269"/>
        <v>0</v>
      </c>
      <c r="S664" s="235"/>
      <c r="T664" s="235"/>
      <c r="U664" s="236">
        <f t="shared" si="270"/>
        <v>0</v>
      </c>
      <c r="V664" s="235"/>
      <c r="W664" s="232">
        <f t="shared" si="271"/>
        <v>0</v>
      </c>
      <c r="X664" s="235"/>
      <c r="Y664" s="235"/>
      <c r="Z664" s="235"/>
    </row>
    <row r="665" spans="1:26" hidden="1" outlineLevel="2">
      <c r="A665" s="160"/>
      <c r="B665" s="323"/>
      <c r="C665" s="207"/>
      <c r="D665" s="208"/>
      <c r="E665" s="133"/>
      <c r="F665" s="261"/>
      <c r="G665" s="138"/>
      <c r="H665" s="139"/>
      <c r="I665" s="206"/>
      <c r="J665" s="206"/>
      <c r="K665" s="206"/>
      <c r="L665" s="137"/>
      <c r="M665" s="74"/>
      <c r="N665" s="19"/>
      <c r="O665" s="234"/>
      <c r="P665" s="205"/>
      <c r="Q665" s="236">
        <f t="shared" si="268"/>
        <v>0</v>
      </c>
      <c r="R665" s="236">
        <f t="shared" si="269"/>
        <v>0</v>
      </c>
      <c r="S665" s="235"/>
      <c r="T665" s="235"/>
      <c r="U665" s="236">
        <f t="shared" si="270"/>
        <v>0</v>
      </c>
      <c r="V665" s="235"/>
      <c r="W665" s="232">
        <f t="shared" si="271"/>
        <v>0</v>
      </c>
      <c r="X665" s="235"/>
      <c r="Y665" s="235"/>
      <c r="Z665" s="235"/>
    </row>
    <row r="666" spans="1:26" hidden="1" outlineLevel="2">
      <c r="A666" s="160"/>
      <c r="B666" s="323"/>
      <c r="C666" s="207"/>
      <c r="D666" s="208"/>
      <c r="E666" s="133"/>
      <c r="F666" s="261"/>
      <c r="G666" s="138"/>
      <c r="H666" s="139"/>
      <c r="I666" s="206"/>
      <c r="J666" s="206"/>
      <c r="K666" s="206"/>
      <c r="L666" s="137"/>
      <c r="M666" s="74"/>
      <c r="N666" s="19"/>
      <c r="O666" s="234"/>
      <c r="P666" s="205"/>
      <c r="Q666" s="236">
        <f t="shared" si="268"/>
        <v>0</v>
      </c>
      <c r="R666" s="236">
        <f>SUM(S666:T666)</f>
        <v>0</v>
      </c>
      <c r="S666" s="235"/>
      <c r="T666" s="235"/>
      <c r="U666" s="236">
        <f t="shared" si="270"/>
        <v>0</v>
      </c>
      <c r="V666" s="235"/>
      <c r="W666" s="232">
        <f t="shared" si="271"/>
        <v>0</v>
      </c>
      <c r="X666" s="235"/>
      <c r="Y666" s="235"/>
      <c r="Z666" s="235"/>
    </row>
    <row r="667" spans="1:26" hidden="1" outlineLevel="2">
      <c r="A667" s="160"/>
      <c r="B667" s="74"/>
      <c r="C667" s="207"/>
      <c r="D667" s="208"/>
      <c r="E667" s="133"/>
      <c r="F667" s="261"/>
      <c r="G667" s="138"/>
      <c r="H667" s="139"/>
      <c r="I667" s="206"/>
      <c r="J667" s="206"/>
      <c r="K667" s="206"/>
      <c r="L667" s="137"/>
      <c r="M667" s="74"/>
      <c r="N667" s="19"/>
      <c r="O667" s="234"/>
      <c r="P667" s="205"/>
      <c r="Q667" s="235"/>
      <c r="R667" s="235"/>
      <c r="S667" s="235"/>
      <c r="T667" s="235"/>
      <c r="U667" s="235"/>
      <c r="V667" s="235"/>
      <c r="W667" s="235"/>
      <c r="X667" s="235"/>
      <c r="Y667" s="235"/>
      <c r="Z667" s="235"/>
    </row>
    <row r="668" spans="1:26" s="75" customFormat="1" outlineLevel="1" collapsed="1">
      <c r="A668" s="237"/>
      <c r="B668" s="238"/>
      <c r="C668" s="239"/>
      <c r="D668" s="240"/>
      <c r="E668" s="241"/>
      <c r="F668" s="264"/>
      <c r="G668" s="242"/>
      <c r="H668" s="243"/>
      <c r="I668" s="244"/>
      <c r="J668" s="244"/>
      <c r="K668" s="244"/>
      <c r="L668" s="150" t="str">
        <f>CONCATENATE(L669," ",N669,M669," ",L670," ",N670,M670," ",L671," ",N671,M671," ",L672," ",N672,M672," ",L673," ",N673,M673," ",L674," ",N674,M674," ",L675," ",N675,M675," ",L676," ",N676,M676," ",L677," ",N677,M677," ",L678," ",N678,M678," "," ",L679," ",N679,M679," ",L680," ",N680,M680," ",L681," ",N681,M681," ",L682," ",N682,M682," ",L683," ",N683,M683," ",L684," ",N684,M684)</f>
        <v xml:space="preserve">                                </v>
      </c>
      <c r="M668" s="243"/>
      <c r="N668" s="243"/>
      <c r="O668" s="287">
        <f>SUM(O677:O684)</f>
        <v>0</v>
      </c>
      <c r="P668" s="245"/>
      <c r="Q668" s="246">
        <f>SUM(Q677:Q684)</f>
        <v>0</v>
      </c>
      <c r="R668" s="246">
        <f t="shared" ref="R668:Y668" si="272">SUM(R677:R684)</f>
        <v>0</v>
      </c>
      <c r="S668" s="246">
        <f t="shared" si="272"/>
        <v>0</v>
      </c>
      <c r="T668" s="246">
        <f t="shared" si="272"/>
        <v>0</v>
      </c>
      <c r="U668" s="246">
        <f t="shared" si="272"/>
        <v>0</v>
      </c>
      <c r="V668" s="246">
        <f t="shared" si="272"/>
        <v>0</v>
      </c>
      <c r="W668" s="246">
        <f t="shared" si="272"/>
        <v>0</v>
      </c>
      <c r="X668" s="246">
        <f t="shared" si="272"/>
        <v>0</v>
      </c>
      <c r="Y668" s="246">
        <f t="shared" si="272"/>
        <v>0</v>
      </c>
      <c r="Z668" s="246">
        <f>SUM(Z677:Z684)</f>
        <v>0</v>
      </c>
    </row>
    <row r="669" spans="1:26" hidden="1" outlineLevel="2">
      <c r="A669" s="19"/>
      <c r="B669" s="323"/>
      <c r="C669" s="207"/>
      <c r="D669" s="208"/>
      <c r="E669" s="133"/>
      <c r="F669" s="261"/>
      <c r="G669" s="138"/>
      <c r="H669" s="135"/>
      <c r="I669" s="206"/>
      <c r="J669" s="206"/>
      <c r="K669" s="206"/>
      <c r="L669" s="137"/>
      <c r="M669" s="163"/>
      <c r="N669" s="163"/>
      <c r="O669" s="163"/>
      <c r="P669" s="205"/>
      <c r="Q669" s="236">
        <f>SUM(R669,U669)</f>
        <v>0</v>
      </c>
      <c r="R669" s="236">
        <f>SUM(S669:T669)</f>
        <v>0</v>
      </c>
      <c r="S669" s="236"/>
      <c r="T669" s="236"/>
      <c r="U669" s="236">
        <f>SUM(V669:Y669)</f>
        <v>0</v>
      </c>
      <c r="V669" s="236"/>
      <c r="W669" s="232">
        <f>V669*0.304</f>
        <v>0</v>
      </c>
      <c r="X669" s="236"/>
      <c r="Y669" s="236"/>
      <c r="Z669" s="236"/>
    </row>
    <row r="670" spans="1:26" hidden="1" outlineLevel="2">
      <c r="A670" s="19"/>
      <c r="B670" s="323"/>
      <c r="C670" s="207"/>
      <c r="D670" s="208"/>
      <c r="E670" s="133"/>
      <c r="F670" s="261"/>
      <c r="G670" s="138"/>
      <c r="H670" s="135"/>
      <c r="I670" s="206"/>
      <c r="J670" s="206"/>
      <c r="K670" s="206"/>
      <c r="L670" s="137"/>
      <c r="M670" s="163"/>
      <c r="N670" s="163"/>
      <c r="O670" s="163"/>
      <c r="P670" s="205"/>
      <c r="Q670" s="236">
        <f t="shared" ref="Q670:Q676" si="273">SUM(R670,U670)</f>
        <v>0</v>
      </c>
      <c r="R670" s="236">
        <f t="shared" ref="R670:R675" si="274">SUM(S670:T670)</f>
        <v>0</v>
      </c>
      <c r="S670" s="236"/>
      <c r="T670" s="236"/>
      <c r="U670" s="236">
        <f t="shared" ref="U670:U676" si="275">SUM(V670:Y670)</f>
        <v>0</v>
      </c>
      <c r="V670" s="236"/>
      <c r="W670" s="232">
        <f t="shared" ref="W670:W676" si="276">V670*0.304</f>
        <v>0</v>
      </c>
      <c r="X670" s="236"/>
      <c r="Y670" s="236"/>
      <c r="Z670" s="236"/>
    </row>
    <row r="671" spans="1:26" hidden="1" outlineLevel="2">
      <c r="A671" s="19"/>
      <c r="B671" s="323"/>
      <c r="C671" s="207"/>
      <c r="D671" s="208"/>
      <c r="E671" s="133"/>
      <c r="F671" s="261"/>
      <c r="G671" s="138"/>
      <c r="H671" s="135"/>
      <c r="I671" s="206"/>
      <c r="J671" s="206"/>
      <c r="K671" s="206"/>
      <c r="L671" s="137"/>
      <c r="M671" s="163"/>
      <c r="N671" s="163"/>
      <c r="O671" s="163"/>
      <c r="P671" s="205"/>
      <c r="Q671" s="236">
        <f t="shared" si="273"/>
        <v>0</v>
      </c>
      <c r="R671" s="236">
        <f t="shared" si="274"/>
        <v>0</v>
      </c>
      <c r="S671" s="236"/>
      <c r="T671" s="236"/>
      <c r="U671" s="236">
        <f t="shared" si="275"/>
        <v>0</v>
      </c>
      <c r="V671" s="236"/>
      <c r="W671" s="232">
        <f t="shared" si="276"/>
        <v>0</v>
      </c>
      <c r="X671" s="236"/>
      <c r="Y671" s="236"/>
      <c r="Z671" s="236"/>
    </row>
    <row r="672" spans="1:26" hidden="1" outlineLevel="2">
      <c r="A672" s="19"/>
      <c r="B672" s="323"/>
      <c r="C672" s="207"/>
      <c r="D672" s="208"/>
      <c r="E672" s="133"/>
      <c r="F672" s="261"/>
      <c r="G672" s="138"/>
      <c r="H672" s="135"/>
      <c r="I672" s="206"/>
      <c r="J672" s="206"/>
      <c r="K672" s="206"/>
      <c r="L672" s="137"/>
      <c r="M672" s="163"/>
      <c r="N672" s="163"/>
      <c r="O672" s="163"/>
      <c r="P672" s="205"/>
      <c r="Q672" s="236">
        <f t="shared" si="273"/>
        <v>0</v>
      </c>
      <c r="R672" s="236">
        <f t="shared" si="274"/>
        <v>0</v>
      </c>
      <c r="S672" s="236"/>
      <c r="T672" s="236"/>
      <c r="U672" s="236">
        <f t="shared" si="275"/>
        <v>0</v>
      </c>
      <c r="V672" s="236"/>
      <c r="W672" s="232">
        <f t="shared" si="276"/>
        <v>0</v>
      </c>
      <c r="X672" s="236"/>
      <c r="Y672" s="236"/>
      <c r="Z672" s="236"/>
    </row>
    <row r="673" spans="1:26" hidden="1" outlineLevel="2">
      <c r="A673" s="19"/>
      <c r="B673" s="323"/>
      <c r="C673" s="207"/>
      <c r="D673" s="208"/>
      <c r="E673" s="133"/>
      <c r="F673" s="261"/>
      <c r="G673" s="138"/>
      <c r="H673" s="135"/>
      <c r="I673" s="206"/>
      <c r="J673" s="206"/>
      <c r="K673" s="206"/>
      <c r="L673" s="137"/>
      <c r="M673" s="163"/>
      <c r="N673" s="163"/>
      <c r="O673" s="163"/>
      <c r="P673" s="205"/>
      <c r="Q673" s="236">
        <f t="shared" si="273"/>
        <v>0</v>
      </c>
      <c r="R673" s="236">
        <f t="shared" si="274"/>
        <v>0</v>
      </c>
      <c r="S673" s="236"/>
      <c r="T673" s="236"/>
      <c r="U673" s="236">
        <f t="shared" si="275"/>
        <v>0</v>
      </c>
      <c r="V673" s="236"/>
      <c r="W673" s="232">
        <f t="shared" si="276"/>
        <v>0</v>
      </c>
      <c r="X673" s="236"/>
      <c r="Y673" s="236"/>
      <c r="Z673" s="236"/>
    </row>
    <row r="674" spans="1:26" hidden="1" outlineLevel="2">
      <c r="A674" s="160"/>
      <c r="B674" s="323"/>
      <c r="C674" s="207"/>
      <c r="D674" s="208"/>
      <c r="E674" s="133"/>
      <c r="F674" s="261"/>
      <c r="G674" s="138"/>
      <c r="H674" s="139"/>
      <c r="I674" s="206"/>
      <c r="J674" s="206"/>
      <c r="K674" s="206"/>
      <c r="L674" s="137"/>
      <c r="M674" s="74"/>
      <c r="N674" s="74"/>
      <c r="O674" s="234"/>
      <c r="P674" s="205"/>
      <c r="Q674" s="236">
        <f t="shared" si="273"/>
        <v>0</v>
      </c>
      <c r="R674" s="236">
        <f t="shared" si="274"/>
        <v>0</v>
      </c>
      <c r="S674" s="235"/>
      <c r="T674" s="235"/>
      <c r="U674" s="236">
        <f t="shared" si="275"/>
        <v>0</v>
      </c>
      <c r="V674" s="235"/>
      <c r="W674" s="232">
        <f t="shared" si="276"/>
        <v>0</v>
      </c>
      <c r="X674" s="235"/>
      <c r="Y674" s="235"/>
      <c r="Z674" s="235"/>
    </row>
    <row r="675" spans="1:26" hidden="1" outlineLevel="2">
      <c r="A675" s="160"/>
      <c r="B675" s="323"/>
      <c r="C675" s="207"/>
      <c r="D675" s="208"/>
      <c r="E675" s="133"/>
      <c r="F675" s="261"/>
      <c r="G675" s="138"/>
      <c r="H675" s="139"/>
      <c r="I675" s="206"/>
      <c r="J675" s="206"/>
      <c r="K675" s="206"/>
      <c r="L675" s="137"/>
      <c r="M675" s="74"/>
      <c r="N675" s="19"/>
      <c r="O675" s="234"/>
      <c r="P675" s="205"/>
      <c r="Q675" s="236">
        <f t="shared" si="273"/>
        <v>0</v>
      </c>
      <c r="R675" s="236">
        <f t="shared" si="274"/>
        <v>0</v>
      </c>
      <c r="S675" s="235"/>
      <c r="T675" s="235"/>
      <c r="U675" s="236">
        <f t="shared" si="275"/>
        <v>0</v>
      </c>
      <c r="V675" s="235"/>
      <c r="W675" s="232">
        <f t="shared" si="276"/>
        <v>0</v>
      </c>
      <c r="X675" s="235"/>
      <c r="Y675" s="235"/>
      <c r="Z675" s="235"/>
    </row>
    <row r="676" spans="1:26" hidden="1" outlineLevel="2">
      <c r="A676" s="160"/>
      <c r="B676" s="323"/>
      <c r="C676" s="207"/>
      <c r="D676" s="208"/>
      <c r="E676" s="133"/>
      <c r="F676" s="261"/>
      <c r="G676" s="138"/>
      <c r="H676" s="139"/>
      <c r="I676" s="206"/>
      <c r="J676" s="206"/>
      <c r="K676" s="206"/>
      <c r="L676" s="137"/>
      <c r="M676" s="74"/>
      <c r="N676" s="19"/>
      <c r="O676" s="234"/>
      <c r="P676" s="205"/>
      <c r="Q676" s="236">
        <f t="shared" si="273"/>
        <v>0</v>
      </c>
      <c r="R676" s="236">
        <f>SUM(S676:T676)</f>
        <v>0</v>
      </c>
      <c r="S676" s="235"/>
      <c r="T676" s="235"/>
      <c r="U676" s="236">
        <f t="shared" si="275"/>
        <v>0</v>
      </c>
      <c r="V676" s="235"/>
      <c r="W676" s="232">
        <f t="shared" si="276"/>
        <v>0</v>
      </c>
      <c r="X676" s="235"/>
      <c r="Y676" s="235"/>
      <c r="Z676" s="235"/>
    </row>
    <row r="677" spans="1:26" hidden="1" outlineLevel="2">
      <c r="A677" s="19"/>
      <c r="B677" s="323"/>
      <c r="C677" s="207"/>
      <c r="D677" s="208"/>
      <c r="E677" s="133"/>
      <c r="F677" s="261"/>
      <c r="G677" s="138"/>
      <c r="H677" s="135"/>
      <c r="I677" s="206"/>
      <c r="J677" s="206"/>
      <c r="K677" s="206"/>
      <c r="L677" s="137"/>
      <c r="M677" s="163"/>
      <c r="N677" s="163"/>
      <c r="O677" s="163"/>
      <c r="P677" s="205"/>
      <c r="Q677" s="236">
        <f>SUM(R677,U677)</f>
        <v>0</v>
      </c>
      <c r="R677" s="236">
        <f>SUM(S677:T677)</f>
        <v>0</v>
      </c>
      <c r="S677" s="236"/>
      <c r="T677" s="236"/>
      <c r="U677" s="236">
        <f>SUM(V677:Y677)</f>
        <v>0</v>
      </c>
      <c r="V677" s="236"/>
      <c r="W677" s="232">
        <f>V677*0.304</f>
        <v>0</v>
      </c>
      <c r="X677" s="236"/>
      <c r="Y677" s="236"/>
      <c r="Z677" s="236"/>
    </row>
    <row r="678" spans="1:26" hidden="1" outlineLevel="2">
      <c r="A678" s="19"/>
      <c r="B678" s="323"/>
      <c r="C678" s="207"/>
      <c r="D678" s="208"/>
      <c r="E678" s="133"/>
      <c r="F678" s="261"/>
      <c r="G678" s="138"/>
      <c r="H678" s="135"/>
      <c r="I678" s="206"/>
      <c r="J678" s="206"/>
      <c r="K678" s="206"/>
      <c r="L678" s="137"/>
      <c r="M678" s="163"/>
      <c r="N678" s="163"/>
      <c r="O678" s="163"/>
      <c r="P678" s="205"/>
      <c r="Q678" s="236">
        <f t="shared" ref="Q678:Q684" si="277">SUM(R678,U678)</f>
        <v>0</v>
      </c>
      <c r="R678" s="236">
        <f t="shared" ref="R678:R683" si="278">SUM(S678:T678)</f>
        <v>0</v>
      </c>
      <c r="S678" s="236"/>
      <c r="T678" s="236"/>
      <c r="U678" s="236">
        <f t="shared" ref="U678:U684" si="279">SUM(V678:Y678)</f>
        <v>0</v>
      </c>
      <c r="V678" s="236"/>
      <c r="W678" s="232">
        <f t="shared" ref="W678:W684" si="280">V678*0.304</f>
        <v>0</v>
      </c>
      <c r="X678" s="236"/>
      <c r="Y678" s="236"/>
      <c r="Z678" s="236"/>
    </row>
    <row r="679" spans="1:26" hidden="1" outlineLevel="2">
      <c r="A679" s="19"/>
      <c r="B679" s="323"/>
      <c r="C679" s="207"/>
      <c r="D679" s="208"/>
      <c r="E679" s="133"/>
      <c r="F679" s="261"/>
      <c r="G679" s="138"/>
      <c r="H679" s="135"/>
      <c r="I679" s="206"/>
      <c r="J679" s="206"/>
      <c r="K679" s="206"/>
      <c r="L679" s="137"/>
      <c r="M679" s="163"/>
      <c r="N679" s="163"/>
      <c r="O679" s="163"/>
      <c r="P679" s="205"/>
      <c r="Q679" s="236">
        <f t="shared" si="277"/>
        <v>0</v>
      </c>
      <c r="R679" s="236">
        <f t="shared" si="278"/>
        <v>0</v>
      </c>
      <c r="S679" s="236"/>
      <c r="T679" s="236"/>
      <c r="U679" s="236">
        <f t="shared" si="279"/>
        <v>0</v>
      </c>
      <c r="V679" s="236"/>
      <c r="W679" s="232">
        <f t="shared" si="280"/>
        <v>0</v>
      </c>
      <c r="X679" s="236"/>
      <c r="Y679" s="236"/>
      <c r="Z679" s="236"/>
    </row>
    <row r="680" spans="1:26" hidden="1" outlineLevel="2">
      <c r="A680" s="19"/>
      <c r="B680" s="323"/>
      <c r="C680" s="207"/>
      <c r="D680" s="208"/>
      <c r="E680" s="133"/>
      <c r="F680" s="261"/>
      <c r="G680" s="138"/>
      <c r="H680" s="135"/>
      <c r="I680" s="206"/>
      <c r="J680" s="206"/>
      <c r="K680" s="206"/>
      <c r="L680" s="137"/>
      <c r="M680" s="163"/>
      <c r="N680" s="163"/>
      <c r="O680" s="163"/>
      <c r="P680" s="205"/>
      <c r="Q680" s="236">
        <f t="shared" si="277"/>
        <v>0</v>
      </c>
      <c r="R680" s="236">
        <f t="shared" si="278"/>
        <v>0</v>
      </c>
      <c r="S680" s="236"/>
      <c r="T680" s="236"/>
      <c r="U680" s="236">
        <f t="shared" si="279"/>
        <v>0</v>
      </c>
      <c r="V680" s="236"/>
      <c r="W680" s="232">
        <f t="shared" si="280"/>
        <v>0</v>
      </c>
      <c r="X680" s="236"/>
      <c r="Y680" s="236"/>
      <c r="Z680" s="236"/>
    </row>
    <row r="681" spans="1:26" hidden="1" outlineLevel="2">
      <c r="A681" s="19"/>
      <c r="B681" s="323"/>
      <c r="C681" s="207"/>
      <c r="D681" s="208"/>
      <c r="E681" s="133"/>
      <c r="F681" s="261"/>
      <c r="G681" s="138"/>
      <c r="H681" s="135"/>
      <c r="I681" s="206"/>
      <c r="J681" s="206"/>
      <c r="K681" s="206"/>
      <c r="L681" s="137"/>
      <c r="M681" s="163"/>
      <c r="N681" s="163"/>
      <c r="O681" s="163"/>
      <c r="P681" s="205"/>
      <c r="Q681" s="236">
        <f t="shared" si="277"/>
        <v>0</v>
      </c>
      <c r="R681" s="236">
        <f t="shared" si="278"/>
        <v>0</v>
      </c>
      <c r="S681" s="236"/>
      <c r="T681" s="236"/>
      <c r="U681" s="236">
        <f t="shared" si="279"/>
        <v>0</v>
      </c>
      <c r="V681" s="236"/>
      <c r="W681" s="232">
        <f t="shared" si="280"/>
        <v>0</v>
      </c>
      <c r="X681" s="236"/>
      <c r="Y681" s="236"/>
      <c r="Z681" s="236"/>
    </row>
    <row r="682" spans="1:26" hidden="1" outlineLevel="2">
      <c r="A682" s="160"/>
      <c r="B682" s="323"/>
      <c r="C682" s="207"/>
      <c r="D682" s="208"/>
      <c r="E682" s="133"/>
      <c r="F682" s="261"/>
      <c r="G682" s="138"/>
      <c r="H682" s="139"/>
      <c r="I682" s="206"/>
      <c r="J682" s="206"/>
      <c r="K682" s="206"/>
      <c r="L682" s="137"/>
      <c r="M682" s="74"/>
      <c r="N682" s="74"/>
      <c r="O682" s="234"/>
      <c r="P682" s="205"/>
      <c r="Q682" s="236">
        <f t="shared" si="277"/>
        <v>0</v>
      </c>
      <c r="R682" s="236">
        <f t="shared" si="278"/>
        <v>0</v>
      </c>
      <c r="S682" s="235"/>
      <c r="T682" s="235"/>
      <c r="U682" s="236">
        <f t="shared" si="279"/>
        <v>0</v>
      </c>
      <c r="V682" s="235"/>
      <c r="W682" s="232">
        <f t="shared" si="280"/>
        <v>0</v>
      </c>
      <c r="X682" s="235"/>
      <c r="Y682" s="235"/>
      <c r="Z682" s="235"/>
    </row>
    <row r="683" spans="1:26" hidden="1" outlineLevel="2">
      <c r="A683" s="160"/>
      <c r="B683" s="323"/>
      <c r="C683" s="207"/>
      <c r="D683" s="208"/>
      <c r="E683" s="133"/>
      <c r="F683" s="261"/>
      <c r="G683" s="138"/>
      <c r="H683" s="139"/>
      <c r="I683" s="206"/>
      <c r="J683" s="206"/>
      <c r="K683" s="206"/>
      <c r="L683" s="137"/>
      <c r="M683" s="74"/>
      <c r="N683" s="19"/>
      <c r="O683" s="234"/>
      <c r="P683" s="205"/>
      <c r="Q683" s="236">
        <f t="shared" si="277"/>
        <v>0</v>
      </c>
      <c r="R683" s="236">
        <f t="shared" si="278"/>
        <v>0</v>
      </c>
      <c r="S683" s="235"/>
      <c r="T683" s="235"/>
      <c r="U683" s="236">
        <f t="shared" si="279"/>
        <v>0</v>
      </c>
      <c r="V683" s="235"/>
      <c r="W683" s="232">
        <f t="shared" si="280"/>
        <v>0</v>
      </c>
      <c r="X683" s="235"/>
      <c r="Y683" s="235"/>
      <c r="Z683" s="235"/>
    </row>
    <row r="684" spans="1:26" hidden="1" outlineLevel="2">
      <c r="A684" s="160"/>
      <c r="B684" s="323"/>
      <c r="C684" s="207"/>
      <c r="D684" s="208"/>
      <c r="E684" s="133"/>
      <c r="F684" s="261"/>
      <c r="G684" s="138"/>
      <c r="H684" s="139"/>
      <c r="I684" s="206"/>
      <c r="J684" s="206"/>
      <c r="K684" s="206"/>
      <c r="L684" s="137"/>
      <c r="M684" s="74"/>
      <c r="N684" s="19"/>
      <c r="O684" s="234"/>
      <c r="P684" s="205"/>
      <c r="Q684" s="236">
        <f t="shared" si="277"/>
        <v>0</v>
      </c>
      <c r="R684" s="236">
        <f>SUM(S684:T684)</f>
        <v>0</v>
      </c>
      <c r="S684" s="235"/>
      <c r="T684" s="235"/>
      <c r="U684" s="236">
        <f t="shared" si="279"/>
        <v>0</v>
      </c>
      <c r="V684" s="235"/>
      <c r="W684" s="232">
        <f t="shared" si="280"/>
        <v>0</v>
      </c>
      <c r="X684" s="235"/>
      <c r="Y684" s="235"/>
      <c r="Z684" s="235"/>
    </row>
    <row r="685" spans="1:26" hidden="1" outlineLevel="2">
      <c r="A685" s="160"/>
      <c r="B685" s="74"/>
      <c r="C685" s="207"/>
      <c r="D685" s="208"/>
      <c r="E685" s="133"/>
      <c r="F685" s="261"/>
      <c r="G685" s="138"/>
      <c r="H685" s="139"/>
      <c r="I685" s="206"/>
      <c r="J685" s="206"/>
      <c r="K685" s="206"/>
      <c r="L685" s="137"/>
      <c r="M685" s="74"/>
      <c r="N685" s="19"/>
      <c r="O685" s="234"/>
      <c r="P685" s="205"/>
      <c r="Q685" s="235"/>
      <c r="R685" s="235"/>
      <c r="S685" s="235"/>
      <c r="T685" s="235"/>
      <c r="U685" s="235"/>
      <c r="V685" s="235"/>
      <c r="W685" s="235"/>
      <c r="X685" s="235"/>
      <c r="Y685" s="235"/>
      <c r="Z685" s="235"/>
    </row>
    <row r="686" spans="1:26" s="75" customFormat="1" outlineLevel="1" collapsed="1">
      <c r="A686" s="237"/>
      <c r="B686" s="238"/>
      <c r="C686" s="239"/>
      <c r="D686" s="240"/>
      <c r="E686" s="241"/>
      <c r="F686" s="264"/>
      <c r="G686" s="242"/>
      <c r="H686" s="243"/>
      <c r="I686" s="244"/>
      <c r="J686" s="244"/>
      <c r="K686" s="244"/>
      <c r="L686" s="150" t="str">
        <f>CONCATENATE(L687," ",N687,M687," ",L688," ",N688,M688," ",L689," ",N689,M689," ",L690," ",N690,M690," ",L691," ",N691,M691," ",L692," ",N692,M692," ",L693," ",N693,M693," ",L694," ",N694,M694," ",L695," ",N695,M695," ",L696," ",N696,M696," "," ",L697," ",N697,M697," ",L698," ",N698,M698," ",L699," ",N699,M699," ",L700," ",N700,M700," ",L701," ",N701,M701," ",L702," ",N702,M702)</f>
        <v xml:space="preserve">                                </v>
      </c>
      <c r="M686" s="243"/>
      <c r="N686" s="243"/>
      <c r="O686" s="287">
        <f>SUM(O695:O702)</f>
        <v>0</v>
      </c>
      <c r="P686" s="245"/>
      <c r="Q686" s="246">
        <f>SUM(Q695:Q702)</f>
        <v>0</v>
      </c>
      <c r="R686" s="246">
        <f t="shared" ref="R686:Y686" si="281">SUM(R695:R702)</f>
        <v>0</v>
      </c>
      <c r="S686" s="246">
        <f t="shared" si="281"/>
        <v>0</v>
      </c>
      <c r="T686" s="246">
        <f t="shared" si="281"/>
        <v>0</v>
      </c>
      <c r="U686" s="246">
        <f t="shared" si="281"/>
        <v>0</v>
      </c>
      <c r="V686" s="246">
        <f t="shared" si="281"/>
        <v>0</v>
      </c>
      <c r="W686" s="246">
        <f t="shared" si="281"/>
        <v>0</v>
      </c>
      <c r="X686" s="246">
        <f t="shared" si="281"/>
        <v>0</v>
      </c>
      <c r="Y686" s="246">
        <f t="shared" si="281"/>
        <v>0</v>
      </c>
      <c r="Z686" s="246">
        <f>SUM(Z695:Z702)</f>
        <v>0</v>
      </c>
    </row>
    <row r="687" spans="1:26" hidden="1" outlineLevel="2">
      <c r="A687" s="19"/>
      <c r="B687" s="323"/>
      <c r="C687" s="207"/>
      <c r="D687" s="208"/>
      <c r="E687" s="133"/>
      <c r="F687" s="261"/>
      <c r="G687" s="138"/>
      <c r="H687" s="135"/>
      <c r="I687" s="206"/>
      <c r="J687" s="206"/>
      <c r="K687" s="206"/>
      <c r="L687" s="137"/>
      <c r="M687" s="163"/>
      <c r="N687" s="163"/>
      <c r="O687" s="163"/>
      <c r="P687" s="205"/>
      <c r="Q687" s="236">
        <f>SUM(R687,U687)</f>
        <v>0</v>
      </c>
      <c r="R687" s="236">
        <f>SUM(S687:T687)</f>
        <v>0</v>
      </c>
      <c r="S687" s="236"/>
      <c r="T687" s="236"/>
      <c r="U687" s="236">
        <f>SUM(V687:Y687)</f>
        <v>0</v>
      </c>
      <c r="V687" s="236"/>
      <c r="W687" s="232">
        <f>V687*0.304</f>
        <v>0</v>
      </c>
      <c r="X687" s="236"/>
      <c r="Y687" s="236"/>
      <c r="Z687" s="236"/>
    </row>
    <row r="688" spans="1:26" hidden="1" outlineLevel="2">
      <c r="A688" s="19"/>
      <c r="B688" s="323"/>
      <c r="C688" s="207"/>
      <c r="D688" s="208"/>
      <c r="E688" s="133"/>
      <c r="F688" s="261"/>
      <c r="G688" s="138"/>
      <c r="H688" s="135"/>
      <c r="I688" s="206"/>
      <c r="J688" s="206"/>
      <c r="K688" s="206"/>
      <c r="L688" s="137"/>
      <c r="M688" s="163"/>
      <c r="N688" s="163"/>
      <c r="O688" s="163"/>
      <c r="P688" s="205"/>
      <c r="Q688" s="236">
        <f t="shared" ref="Q688:Q694" si="282">SUM(R688,U688)</f>
        <v>0</v>
      </c>
      <c r="R688" s="236">
        <f t="shared" ref="R688:R693" si="283">SUM(S688:T688)</f>
        <v>0</v>
      </c>
      <c r="S688" s="236"/>
      <c r="T688" s="236"/>
      <c r="U688" s="236">
        <f t="shared" ref="U688:U694" si="284">SUM(V688:Y688)</f>
        <v>0</v>
      </c>
      <c r="V688" s="236"/>
      <c r="W688" s="232">
        <f t="shared" ref="W688:W694" si="285">V688*0.304</f>
        <v>0</v>
      </c>
      <c r="X688" s="236"/>
      <c r="Y688" s="236"/>
      <c r="Z688" s="236"/>
    </row>
    <row r="689" spans="1:26" hidden="1" outlineLevel="2">
      <c r="A689" s="19"/>
      <c r="B689" s="323"/>
      <c r="C689" s="207"/>
      <c r="D689" s="208"/>
      <c r="E689" s="133"/>
      <c r="F689" s="261"/>
      <c r="G689" s="138"/>
      <c r="H689" s="135"/>
      <c r="I689" s="206"/>
      <c r="J689" s="206"/>
      <c r="K689" s="206"/>
      <c r="L689" s="137"/>
      <c r="M689" s="163"/>
      <c r="N689" s="163"/>
      <c r="O689" s="163"/>
      <c r="P689" s="205"/>
      <c r="Q689" s="236">
        <f t="shared" si="282"/>
        <v>0</v>
      </c>
      <c r="R689" s="236">
        <f t="shared" si="283"/>
        <v>0</v>
      </c>
      <c r="S689" s="236"/>
      <c r="T689" s="236"/>
      <c r="U689" s="236">
        <f t="shared" si="284"/>
        <v>0</v>
      </c>
      <c r="V689" s="236"/>
      <c r="W689" s="232">
        <f t="shared" si="285"/>
        <v>0</v>
      </c>
      <c r="X689" s="236"/>
      <c r="Y689" s="236"/>
      <c r="Z689" s="236"/>
    </row>
    <row r="690" spans="1:26" hidden="1" outlineLevel="2">
      <c r="A690" s="19"/>
      <c r="B690" s="323"/>
      <c r="C690" s="207"/>
      <c r="D690" s="208"/>
      <c r="E690" s="133"/>
      <c r="F690" s="261"/>
      <c r="G690" s="138"/>
      <c r="H690" s="135"/>
      <c r="I690" s="206"/>
      <c r="J690" s="206"/>
      <c r="K690" s="206"/>
      <c r="L690" s="137"/>
      <c r="M690" s="163"/>
      <c r="N690" s="163"/>
      <c r="O690" s="163"/>
      <c r="P690" s="205"/>
      <c r="Q690" s="236">
        <f t="shared" si="282"/>
        <v>0</v>
      </c>
      <c r="R690" s="236">
        <f t="shared" si="283"/>
        <v>0</v>
      </c>
      <c r="S690" s="236"/>
      <c r="T690" s="236"/>
      <c r="U690" s="236">
        <f t="shared" si="284"/>
        <v>0</v>
      </c>
      <c r="V690" s="236"/>
      <c r="W690" s="232">
        <f t="shared" si="285"/>
        <v>0</v>
      </c>
      <c r="X690" s="236"/>
      <c r="Y690" s="236"/>
      <c r="Z690" s="236"/>
    </row>
    <row r="691" spans="1:26" hidden="1" outlineLevel="2">
      <c r="A691" s="19"/>
      <c r="B691" s="323"/>
      <c r="C691" s="207"/>
      <c r="D691" s="208"/>
      <c r="E691" s="133"/>
      <c r="F691" s="261"/>
      <c r="G691" s="138"/>
      <c r="H691" s="135"/>
      <c r="I691" s="206"/>
      <c r="J691" s="206"/>
      <c r="K691" s="206"/>
      <c r="L691" s="137"/>
      <c r="M691" s="163"/>
      <c r="N691" s="163"/>
      <c r="O691" s="163"/>
      <c r="P691" s="205"/>
      <c r="Q691" s="236">
        <f t="shared" si="282"/>
        <v>0</v>
      </c>
      <c r="R691" s="236">
        <f t="shared" si="283"/>
        <v>0</v>
      </c>
      <c r="S691" s="236"/>
      <c r="T691" s="236"/>
      <c r="U691" s="236">
        <f t="shared" si="284"/>
        <v>0</v>
      </c>
      <c r="V691" s="236"/>
      <c r="W691" s="232">
        <f t="shared" si="285"/>
        <v>0</v>
      </c>
      <c r="X691" s="236"/>
      <c r="Y691" s="236"/>
      <c r="Z691" s="236"/>
    </row>
    <row r="692" spans="1:26" hidden="1" outlineLevel="2">
      <c r="A692" s="160"/>
      <c r="B692" s="323"/>
      <c r="C692" s="207"/>
      <c r="D692" s="208"/>
      <c r="E692" s="133"/>
      <c r="F692" s="261"/>
      <c r="G692" s="138"/>
      <c r="H692" s="139"/>
      <c r="I692" s="206"/>
      <c r="J692" s="206"/>
      <c r="K692" s="206"/>
      <c r="L692" s="137"/>
      <c r="M692" s="74"/>
      <c r="N692" s="74"/>
      <c r="O692" s="234"/>
      <c r="P692" s="205"/>
      <c r="Q692" s="236">
        <f t="shared" si="282"/>
        <v>0</v>
      </c>
      <c r="R692" s="236">
        <f t="shared" si="283"/>
        <v>0</v>
      </c>
      <c r="S692" s="235"/>
      <c r="T692" s="235"/>
      <c r="U692" s="236">
        <f t="shared" si="284"/>
        <v>0</v>
      </c>
      <c r="V692" s="235"/>
      <c r="W692" s="232">
        <f t="shared" si="285"/>
        <v>0</v>
      </c>
      <c r="X692" s="235"/>
      <c r="Y692" s="235"/>
      <c r="Z692" s="235"/>
    </row>
    <row r="693" spans="1:26" hidden="1" outlineLevel="2">
      <c r="A693" s="160"/>
      <c r="B693" s="323"/>
      <c r="C693" s="207"/>
      <c r="D693" s="208"/>
      <c r="E693" s="133"/>
      <c r="F693" s="261"/>
      <c r="G693" s="138"/>
      <c r="H693" s="139"/>
      <c r="I693" s="206"/>
      <c r="J693" s="206"/>
      <c r="K693" s="206"/>
      <c r="L693" s="137"/>
      <c r="M693" s="74"/>
      <c r="N693" s="19"/>
      <c r="O693" s="234"/>
      <c r="P693" s="205"/>
      <c r="Q693" s="236">
        <f t="shared" si="282"/>
        <v>0</v>
      </c>
      <c r="R693" s="236">
        <f t="shared" si="283"/>
        <v>0</v>
      </c>
      <c r="S693" s="235"/>
      <c r="T693" s="235"/>
      <c r="U693" s="236">
        <f t="shared" si="284"/>
        <v>0</v>
      </c>
      <c r="V693" s="235"/>
      <c r="W693" s="232">
        <f t="shared" si="285"/>
        <v>0</v>
      </c>
      <c r="X693" s="235"/>
      <c r="Y693" s="235"/>
      <c r="Z693" s="235"/>
    </row>
    <row r="694" spans="1:26" hidden="1" outlineLevel="2">
      <c r="A694" s="160"/>
      <c r="B694" s="323"/>
      <c r="C694" s="207"/>
      <c r="D694" s="208"/>
      <c r="E694" s="133"/>
      <c r="F694" s="261"/>
      <c r="G694" s="138"/>
      <c r="H694" s="139"/>
      <c r="I694" s="206"/>
      <c r="J694" s="206"/>
      <c r="K694" s="206"/>
      <c r="L694" s="137"/>
      <c r="M694" s="74"/>
      <c r="N694" s="19"/>
      <c r="O694" s="234"/>
      <c r="P694" s="205"/>
      <c r="Q694" s="236">
        <f t="shared" si="282"/>
        <v>0</v>
      </c>
      <c r="R694" s="236">
        <f>SUM(S694:T694)</f>
        <v>0</v>
      </c>
      <c r="S694" s="235"/>
      <c r="T694" s="235"/>
      <c r="U694" s="236">
        <f t="shared" si="284"/>
        <v>0</v>
      </c>
      <c r="V694" s="235"/>
      <c r="W694" s="232">
        <f t="shared" si="285"/>
        <v>0</v>
      </c>
      <c r="X694" s="235"/>
      <c r="Y694" s="235"/>
      <c r="Z694" s="235"/>
    </row>
    <row r="695" spans="1:26" hidden="1" outlineLevel="2">
      <c r="A695" s="19"/>
      <c r="B695" s="323"/>
      <c r="C695" s="207"/>
      <c r="D695" s="208"/>
      <c r="E695" s="133"/>
      <c r="F695" s="261"/>
      <c r="G695" s="138"/>
      <c r="H695" s="135"/>
      <c r="I695" s="206"/>
      <c r="J695" s="206"/>
      <c r="K695" s="206"/>
      <c r="L695" s="137"/>
      <c r="M695" s="163"/>
      <c r="N695" s="163"/>
      <c r="O695" s="163"/>
      <c r="P695" s="205"/>
      <c r="Q695" s="236">
        <f>SUM(R695,U695)</f>
        <v>0</v>
      </c>
      <c r="R695" s="236">
        <f>SUM(S695:T695)</f>
        <v>0</v>
      </c>
      <c r="S695" s="236"/>
      <c r="T695" s="236"/>
      <c r="U695" s="236">
        <f>SUM(V695:Y695)</f>
        <v>0</v>
      </c>
      <c r="V695" s="236"/>
      <c r="W695" s="232">
        <f>V695*0.304</f>
        <v>0</v>
      </c>
      <c r="X695" s="236"/>
      <c r="Y695" s="236"/>
      <c r="Z695" s="236"/>
    </row>
    <row r="696" spans="1:26" hidden="1" outlineLevel="2">
      <c r="A696" s="19"/>
      <c r="B696" s="323"/>
      <c r="C696" s="207"/>
      <c r="D696" s="208"/>
      <c r="E696" s="133"/>
      <c r="F696" s="261"/>
      <c r="G696" s="138"/>
      <c r="H696" s="135"/>
      <c r="I696" s="206"/>
      <c r="J696" s="206"/>
      <c r="K696" s="206"/>
      <c r="L696" s="137"/>
      <c r="M696" s="163"/>
      <c r="N696" s="163"/>
      <c r="O696" s="163"/>
      <c r="P696" s="205"/>
      <c r="Q696" s="236">
        <f t="shared" ref="Q696:Q702" si="286">SUM(R696,U696)</f>
        <v>0</v>
      </c>
      <c r="R696" s="236">
        <f t="shared" ref="R696:R701" si="287">SUM(S696:T696)</f>
        <v>0</v>
      </c>
      <c r="S696" s="236"/>
      <c r="T696" s="236"/>
      <c r="U696" s="236">
        <f t="shared" ref="U696:U702" si="288">SUM(V696:Y696)</f>
        <v>0</v>
      </c>
      <c r="V696" s="236"/>
      <c r="W696" s="232">
        <f t="shared" ref="W696:W702" si="289">V696*0.304</f>
        <v>0</v>
      </c>
      <c r="X696" s="236"/>
      <c r="Y696" s="236"/>
      <c r="Z696" s="236"/>
    </row>
    <row r="697" spans="1:26" hidden="1" outlineLevel="2">
      <c r="A697" s="19"/>
      <c r="B697" s="323"/>
      <c r="C697" s="207"/>
      <c r="D697" s="208"/>
      <c r="E697" s="133"/>
      <c r="F697" s="261"/>
      <c r="G697" s="138"/>
      <c r="H697" s="135"/>
      <c r="I697" s="206"/>
      <c r="J697" s="206"/>
      <c r="K697" s="206"/>
      <c r="L697" s="137"/>
      <c r="M697" s="163"/>
      <c r="N697" s="163"/>
      <c r="O697" s="163"/>
      <c r="P697" s="205"/>
      <c r="Q697" s="236">
        <f t="shared" si="286"/>
        <v>0</v>
      </c>
      <c r="R697" s="236">
        <f t="shared" si="287"/>
        <v>0</v>
      </c>
      <c r="S697" s="236"/>
      <c r="T697" s="236"/>
      <c r="U697" s="236">
        <f t="shared" si="288"/>
        <v>0</v>
      </c>
      <c r="V697" s="236"/>
      <c r="W697" s="232">
        <f t="shared" si="289"/>
        <v>0</v>
      </c>
      <c r="X697" s="236"/>
      <c r="Y697" s="236"/>
      <c r="Z697" s="236"/>
    </row>
    <row r="698" spans="1:26" hidden="1" outlineLevel="2">
      <c r="A698" s="19"/>
      <c r="B698" s="323"/>
      <c r="C698" s="207"/>
      <c r="D698" s="208"/>
      <c r="E698" s="133"/>
      <c r="F698" s="261"/>
      <c r="G698" s="138"/>
      <c r="H698" s="135"/>
      <c r="I698" s="206"/>
      <c r="J698" s="206"/>
      <c r="K698" s="206"/>
      <c r="L698" s="137"/>
      <c r="M698" s="163"/>
      <c r="N698" s="163"/>
      <c r="O698" s="163"/>
      <c r="P698" s="205"/>
      <c r="Q698" s="236">
        <f t="shared" si="286"/>
        <v>0</v>
      </c>
      <c r="R698" s="236">
        <f t="shared" si="287"/>
        <v>0</v>
      </c>
      <c r="S698" s="236"/>
      <c r="T698" s="236"/>
      <c r="U698" s="236">
        <f t="shared" si="288"/>
        <v>0</v>
      </c>
      <c r="V698" s="236"/>
      <c r="W698" s="232">
        <f t="shared" si="289"/>
        <v>0</v>
      </c>
      <c r="X698" s="236"/>
      <c r="Y698" s="236"/>
      <c r="Z698" s="236"/>
    </row>
    <row r="699" spans="1:26" hidden="1" outlineLevel="2">
      <c r="A699" s="19"/>
      <c r="B699" s="323"/>
      <c r="C699" s="207"/>
      <c r="D699" s="208"/>
      <c r="E699" s="133"/>
      <c r="F699" s="261"/>
      <c r="G699" s="138"/>
      <c r="H699" s="135"/>
      <c r="I699" s="206"/>
      <c r="J699" s="206"/>
      <c r="K699" s="206"/>
      <c r="L699" s="137"/>
      <c r="M699" s="163"/>
      <c r="N699" s="163"/>
      <c r="O699" s="163"/>
      <c r="P699" s="205"/>
      <c r="Q699" s="236">
        <f t="shared" si="286"/>
        <v>0</v>
      </c>
      <c r="R699" s="236">
        <f t="shared" si="287"/>
        <v>0</v>
      </c>
      <c r="S699" s="236"/>
      <c r="T699" s="236"/>
      <c r="U699" s="236">
        <f t="shared" si="288"/>
        <v>0</v>
      </c>
      <c r="V699" s="236"/>
      <c r="W699" s="232">
        <f t="shared" si="289"/>
        <v>0</v>
      </c>
      <c r="X699" s="236"/>
      <c r="Y699" s="236"/>
      <c r="Z699" s="236"/>
    </row>
    <row r="700" spans="1:26" hidden="1" outlineLevel="2">
      <c r="A700" s="160"/>
      <c r="B700" s="323"/>
      <c r="C700" s="207"/>
      <c r="D700" s="208"/>
      <c r="E700" s="133"/>
      <c r="F700" s="261"/>
      <c r="G700" s="138"/>
      <c r="H700" s="139"/>
      <c r="I700" s="206"/>
      <c r="J700" s="206"/>
      <c r="K700" s="206"/>
      <c r="L700" s="137"/>
      <c r="M700" s="74"/>
      <c r="N700" s="74"/>
      <c r="O700" s="234"/>
      <c r="P700" s="205"/>
      <c r="Q700" s="236">
        <f t="shared" si="286"/>
        <v>0</v>
      </c>
      <c r="R700" s="236">
        <f t="shared" si="287"/>
        <v>0</v>
      </c>
      <c r="S700" s="235"/>
      <c r="T700" s="235"/>
      <c r="U700" s="236">
        <f t="shared" si="288"/>
        <v>0</v>
      </c>
      <c r="V700" s="235"/>
      <c r="W700" s="232">
        <f t="shared" si="289"/>
        <v>0</v>
      </c>
      <c r="X700" s="235"/>
      <c r="Y700" s="235"/>
      <c r="Z700" s="235"/>
    </row>
    <row r="701" spans="1:26" hidden="1" outlineLevel="2">
      <c r="A701" s="160"/>
      <c r="B701" s="323"/>
      <c r="C701" s="207"/>
      <c r="D701" s="208"/>
      <c r="E701" s="133"/>
      <c r="F701" s="261"/>
      <c r="G701" s="138"/>
      <c r="H701" s="139"/>
      <c r="I701" s="206"/>
      <c r="J701" s="206"/>
      <c r="K701" s="206"/>
      <c r="L701" s="137"/>
      <c r="M701" s="74"/>
      <c r="N701" s="19"/>
      <c r="O701" s="234"/>
      <c r="P701" s="205"/>
      <c r="Q701" s="236">
        <f t="shared" si="286"/>
        <v>0</v>
      </c>
      <c r="R701" s="236">
        <f t="shared" si="287"/>
        <v>0</v>
      </c>
      <c r="S701" s="235"/>
      <c r="T701" s="235"/>
      <c r="U701" s="236">
        <f t="shared" si="288"/>
        <v>0</v>
      </c>
      <c r="V701" s="235"/>
      <c r="W701" s="232">
        <f t="shared" si="289"/>
        <v>0</v>
      </c>
      <c r="X701" s="235"/>
      <c r="Y701" s="235"/>
      <c r="Z701" s="235"/>
    </row>
    <row r="702" spans="1:26" hidden="1" outlineLevel="2">
      <c r="A702" s="160"/>
      <c r="B702" s="323"/>
      <c r="C702" s="207"/>
      <c r="D702" s="208"/>
      <c r="E702" s="133"/>
      <c r="F702" s="261"/>
      <c r="G702" s="138"/>
      <c r="H702" s="139"/>
      <c r="I702" s="206"/>
      <c r="J702" s="206"/>
      <c r="K702" s="206"/>
      <c r="L702" s="137"/>
      <c r="M702" s="74"/>
      <c r="N702" s="19"/>
      <c r="O702" s="234"/>
      <c r="P702" s="205"/>
      <c r="Q702" s="236">
        <f t="shared" si="286"/>
        <v>0</v>
      </c>
      <c r="R702" s="236">
        <f>SUM(S702:T702)</f>
        <v>0</v>
      </c>
      <c r="S702" s="235"/>
      <c r="T702" s="235"/>
      <c r="U702" s="236">
        <f t="shared" si="288"/>
        <v>0</v>
      </c>
      <c r="V702" s="235"/>
      <c r="W702" s="232">
        <f t="shared" si="289"/>
        <v>0</v>
      </c>
      <c r="X702" s="235"/>
      <c r="Y702" s="235"/>
      <c r="Z702" s="235"/>
    </row>
    <row r="703" spans="1:26" hidden="1" outlineLevel="2">
      <c r="A703" s="160"/>
      <c r="B703" s="74"/>
      <c r="C703" s="207"/>
      <c r="D703" s="208"/>
      <c r="E703" s="133"/>
      <c r="F703" s="261"/>
      <c r="G703" s="138"/>
      <c r="H703" s="139"/>
      <c r="I703" s="206"/>
      <c r="J703" s="206"/>
      <c r="K703" s="206"/>
      <c r="L703" s="137"/>
      <c r="M703" s="74"/>
      <c r="N703" s="19"/>
      <c r="O703" s="234"/>
      <c r="P703" s="205"/>
      <c r="Q703" s="235"/>
      <c r="R703" s="235"/>
      <c r="S703" s="235"/>
      <c r="T703" s="235"/>
      <c r="U703" s="235"/>
      <c r="V703" s="235"/>
      <c r="W703" s="235"/>
      <c r="X703" s="235"/>
      <c r="Y703" s="235"/>
      <c r="Z703" s="235"/>
    </row>
    <row r="704" spans="1:26" s="75" customFormat="1" outlineLevel="1" collapsed="1">
      <c r="A704" s="237"/>
      <c r="B704" s="238"/>
      <c r="C704" s="239"/>
      <c r="D704" s="240"/>
      <c r="E704" s="241"/>
      <c r="F704" s="264"/>
      <c r="G704" s="242"/>
      <c r="H704" s="243"/>
      <c r="I704" s="244"/>
      <c r="J704" s="244"/>
      <c r="K704" s="244"/>
      <c r="L704" s="150" t="str">
        <f>CONCATENATE(L705," ",N705,M705," ",L706," ",N706,M706," ",L707," ",N707,M707," ",L708," ",N708,M708," ",L709," ",N709,M709," ",L710," ",N710,M710," ",L711," ",N711,M711," ",L712," ",N712,M712," ",L713," ",N713,M713," ",L714," ",N714,M714," "," ",L715," ",N715,M715," ",L716," ",N716,M716," ",L717," ",N717,M717," ",L718," ",N718,M718," ",L719," ",N719,M719," ",L720," ",N720,M720)</f>
        <v xml:space="preserve">                                </v>
      </c>
      <c r="M704" s="243"/>
      <c r="N704" s="243"/>
      <c r="O704" s="287">
        <f>SUM(O713:O720)</f>
        <v>0</v>
      </c>
      <c r="P704" s="245"/>
      <c r="Q704" s="246">
        <f>SUM(Q713:Q720)</f>
        <v>0</v>
      </c>
      <c r="R704" s="246">
        <f t="shared" ref="R704:Y704" si="290">SUM(R713:R720)</f>
        <v>0</v>
      </c>
      <c r="S704" s="246">
        <f t="shared" si="290"/>
        <v>0</v>
      </c>
      <c r="T704" s="246">
        <f t="shared" si="290"/>
        <v>0</v>
      </c>
      <c r="U704" s="246">
        <f t="shared" si="290"/>
        <v>0</v>
      </c>
      <c r="V704" s="246">
        <f t="shared" si="290"/>
        <v>0</v>
      </c>
      <c r="W704" s="246">
        <f t="shared" si="290"/>
        <v>0</v>
      </c>
      <c r="X704" s="246">
        <f t="shared" si="290"/>
        <v>0</v>
      </c>
      <c r="Y704" s="246">
        <f t="shared" si="290"/>
        <v>0</v>
      </c>
      <c r="Z704" s="246">
        <f>SUM(Z713:Z720)</f>
        <v>0</v>
      </c>
    </row>
    <row r="705" spans="1:26" hidden="1" outlineLevel="2">
      <c r="A705" s="19"/>
      <c r="B705" s="323"/>
      <c r="C705" s="207"/>
      <c r="D705" s="208"/>
      <c r="E705" s="133"/>
      <c r="F705" s="261"/>
      <c r="G705" s="138"/>
      <c r="H705" s="135"/>
      <c r="I705" s="206"/>
      <c r="J705" s="206"/>
      <c r="K705" s="206"/>
      <c r="L705" s="137"/>
      <c r="M705" s="163"/>
      <c r="N705" s="163"/>
      <c r="O705" s="163"/>
      <c r="P705" s="205"/>
      <c r="Q705" s="236">
        <f>SUM(R705,U705)</f>
        <v>0</v>
      </c>
      <c r="R705" s="236">
        <f>SUM(S705:T705)</f>
        <v>0</v>
      </c>
      <c r="S705" s="236"/>
      <c r="T705" s="236"/>
      <c r="U705" s="236">
        <f>SUM(V705:Y705)</f>
        <v>0</v>
      </c>
      <c r="V705" s="236"/>
      <c r="W705" s="232">
        <f>V705*0.304</f>
        <v>0</v>
      </c>
      <c r="X705" s="236"/>
      <c r="Y705" s="236"/>
      <c r="Z705" s="236"/>
    </row>
    <row r="706" spans="1:26" hidden="1" outlineLevel="2">
      <c r="A706" s="19"/>
      <c r="B706" s="323"/>
      <c r="C706" s="207"/>
      <c r="D706" s="208"/>
      <c r="E706" s="133"/>
      <c r="F706" s="261"/>
      <c r="G706" s="138"/>
      <c r="H706" s="135"/>
      <c r="I706" s="206"/>
      <c r="J706" s="206"/>
      <c r="K706" s="206"/>
      <c r="L706" s="137"/>
      <c r="M706" s="163"/>
      <c r="N706" s="163"/>
      <c r="O706" s="163"/>
      <c r="P706" s="205"/>
      <c r="Q706" s="236">
        <f t="shared" ref="Q706:Q712" si="291">SUM(R706,U706)</f>
        <v>0</v>
      </c>
      <c r="R706" s="236">
        <f t="shared" ref="R706:R711" si="292">SUM(S706:T706)</f>
        <v>0</v>
      </c>
      <c r="S706" s="236"/>
      <c r="T706" s="236"/>
      <c r="U706" s="236">
        <f t="shared" ref="U706:U712" si="293">SUM(V706:Y706)</f>
        <v>0</v>
      </c>
      <c r="V706" s="236"/>
      <c r="W706" s="232">
        <f t="shared" ref="W706:W712" si="294">V706*0.304</f>
        <v>0</v>
      </c>
      <c r="X706" s="236"/>
      <c r="Y706" s="236"/>
      <c r="Z706" s="236"/>
    </row>
    <row r="707" spans="1:26" hidden="1" outlineLevel="2">
      <c r="A707" s="19"/>
      <c r="B707" s="323"/>
      <c r="C707" s="207"/>
      <c r="D707" s="208"/>
      <c r="E707" s="133"/>
      <c r="F707" s="261"/>
      <c r="G707" s="138"/>
      <c r="H707" s="135"/>
      <c r="I707" s="206"/>
      <c r="J707" s="206"/>
      <c r="K707" s="206"/>
      <c r="L707" s="137"/>
      <c r="M707" s="163"/>
      <c r="N707" s="163"/>
      <c r="O707" s="163"/>
      <c r="P707" s="205"/>
      <c r="Q707" s="236">
        <f t="shared" si="291"/>
        <v>0</v>
      </c>
      <c r="R707" s="236">
        <f t="shared" si="292"/>
        <v>0</v>
      </c>
      <c r="S707" s="236"/>
      <c r="T707" s="236"/>
      <c r="U707" s="236">
        <f t="shared" si="293"/>
        <v>0</v>
      </c>
      <c r="V707" s="236"/>
      <c r="W707" s="232">
        <f t="shared" si="294"/>
        <v>0</v>
      </c>
      <c r="X707" s="236"/>
      <c r="Y707" s="236"/>
      <c r="Z707" s="236"/>
    </row>
    <row r="708" spans="1:26" hidden="1" outlineLevel="2">
      <c r="A708" s="19"/>
      <c r="B708" s="323"/>
      <c r="C708" s="207"/>
      <c r="D708" s="208"/>
      <c r="E708" s="133"/>
      <c r="F708" s="261"/>
      <c r="G708" s="138"/>
      <c r="H708" s="135"/>
      <c r="I708" s="206"/>
      <c r="J708" s="206"/>
      <c r="K708" s="206"/>
      <c r="L708" s="137"/>
      <c r="M708" s="163"/>
      <c r="N708" s="163"/>
      <c r="O708" s="163"/>
      <c r="P708" s="205"/>
      <c r="Q708" s="236">
        <f t="shared" si="291"/>
        <v>0</v>
      </c>
      <c r="R708" s="236">
        <f t="shared" si="292"/>
        <v>0</v>
      </c>
      <c r="S708" s="236"/>
      <c r="T708" s="236"/>
      <c r="U708" s="236">
        <f t="shared" si="293"/>
        <v>0</v>
      </c>
      <c r="V708" s="236"/>
      <c r="W708" s="232">
        <f t="shared" si="294"/>
        <v>0</v>
      </c>
      <c r="X708" s="236"/>
      <c r="Y708" s="236"/>
      <c r="Z708" s="236"/>
    </row>
    <row r="709" spans="1:26" hidden="1" outlineLevel="2">
      <c r="A709" s="19"/>
      <c r="B709" s="323"/>
      <c r="C709" s="207"/>
      <c r="D709" s="208"/>
      <c r="E709" s="133"/>
      <c r="F709" s="261"/>
      <c r="G709" s="138"/>
      <c r="H709" s="135"/>
      <c r="I709" s="206"/>
      <c r="J709" s="206"/>
      <c r="K709" s="206"/>
      <c r="L709" s="137"/>
      <c r="M709" s="163"/>
      <c r="N709" s="163"/>
      <c r="O709" s="163"/>
      <c r="P709" s="205"/>
      <c r="Q709" s="236">
        <f t="shared" si="291"/>
        <v>0</v>
      </c>
      <c r="R709" s="236">
        <f t="shared" si="292"/>
        <v>0</v>
      </c>
      <c r="S709" s="236"/>
      <c r="T709" s="236"/>
      <c r="U709" s="236">
        <f t="shared" si="293"/>
        <v>0</v>
      </c>
      <c r="V709" s="236"/>
      <c r="W709" s="232">
        <f t="shared" si="294"/>
        <v>0</v>
      </c>
      <c r="X709" s="236"/>
      <c r="Y709" s="236"/>
      <c r="Z709" s="236"/>
    </row>
    <row r="710" spans="1:26" hidden="1" outlineLevel="2">
      <c r="A710" s="160"/>
      <c r="B710" s="323"/>
      <c r="C710" s="207"/>
      <c r="D710" s="208"/>
      <c r="E710" s="133"/>
      <c r="F710" s="261"/>
      <c r="G710" s="138"/>
      <c r="H710" s="139"/>
      <c r="I710" s="206"/>
      <c r="J710" s="206"/>
      <c r="K710" s="206"/>
      <c r="L710" s="137"/>
      <c r="M710" s="74"/>
      <c r="N710" s="74"/>
      <c r="O710" s="234"/>
      <c r="P710" s="205"/>
      <c r="Q710" s="236">
        <f t="shared" si="291"/>
        <v>0</v>
      </c>
      <c r="R710" s="236">
        <f t="shared" si="292"/>
        <v>0</v>
      </c>
      <c r="S710" s="235"/>
      <c r="T710" s="235"/>
      <c r="U710" s="236">
        <f t="shared" si="293"/>
        <v>0</v>
      </c>
      <c r="V710" s="235"/>
      <c r="W710" s="232">
        <f t="shared" si="294"/>
        <v>0</v>
      </c>
      <c r="X710" s="235"/>
      <c r="Y710" s="235"/>
      <c r="Z710" s="235"/>
    </row>
    <row r="711" spans="1:26" hidden="1" outlineLevel="2">
      <c r="A711" s="160"/>
      <c r="B711" s="323"/>
      <c r="C711" s="207"/>
      <c r="D711" s="208"/>
      <c r="E711" s="133"/>
      <c r="F711" s="261"/>
      <c r="G711" s="138"/>
      <c r="H711" s="139"/>
      <c r="I711" s="206"/>
      <c r="J711" s="206"/>
      <c r="K711" s="206"/>
      <c r="L711" s="137"/>
      <c r="M711" s="74"/>
      <c r="N711" s="19"/>
      <c r="O711" s="234"/>
      <c r="P711" s="205"/>
      <c r="Q711" s="236">
        <f t="shared" si="291"/>
        <v>0</v>
      </c>
      <c r="R711" s="236">
        <f t="shared" si="292"/>
        <v>0</v>
      </c>
      <c r="S711" s="235"/>
      <c r="T711" s="235"/>
      <c r="U711" s="236">
        <f t="shared" si="293"/>
        <v>0</v>
      </c>
      <c r="V711" s="235"/>
      <c r="W711" s="232">
        <f t="shared" si="294"/>
        <v>0</v>
      </c>
      <c r="X711" s="235"/>
      <c r="Y711" s="235"/>
      <c r="Z711" s="235"/>
    </row>
    <row r="712" spans="1:26" hidden="1" outlineLevel="2">
      <c r="A712" s="160"/>
      <c r="B712" s="323"/>
      <c r="C712" s="207"/>
      <c r="D712" s="208"/>
      <c r="E712" s="133"/>
      <c r="F712" s="261"/>
      <c r="G712" s="138"/>
      <c r="H712" s="139"/>
      <c r="I712" s="206"/>
      <c r="J712" s="206"/>
      <c r="K712" s="206"/>
      <c r="L712" s="137"/>
      <c r="M712" s="74"/>
      <c r="N712" s="19"/>
      <c r="O712" s="234"/>
      <c r="P712" s="205"/>
      <c r="Q712" s="236">
        <f t="shared" si="291"/>
        <v>0</v>
      </c>
      <c r="R712" s="236">
        <f>SUM(S712:T712)</f>
        <v>0</v>
      </c>
      <c r="S712" s="235"/>
      <c r="T712" s="235"/>
      <c r="U712" s="236">
        <f t="shared" si="293"/>
        <v>0</v>
      </c>
      <c r="V712" s="235"/>
      <c r="W712" s="232">
        <f t="shared" si="294"/>
        <v>0</v>
      </c>
      <c r="X712" s="235"/>
      <c r="Y712" s="235"/>
      <c r="Z712" s="235"/>
    </row>
    <row r="713" spans="1:26" hidden="1" outlineLevel="2">
      <c r="A713" s="19"/>
      <c r="B713" s="323"/>
      <c r="C713" s="207"/>
      <c r="D713" s="208"/>
      <c r="E713" s="133"/>
      <c r="F713" s="261"/>
      <c r="G713" s="138"/>
      <c r="H713" s="135"/>
      <c r="I713" s="206"/>
      <c r="J713" s="206"/>
      <c r="K713" s="206"/>
      <c r="L713" s="137"/>
      <c r="M713" s="163"/>
      <c r="N713" s="163"/>
      <c r="O713" s="163"/>
      <c r="P713" s="205"/>
      <c r="Q713" s="236">
        <f>SUM(R713,U713)</f>
        <v>0</v>
      </c>
      <c r="R713" s="236">
        <f>SUM(S713:T713)</f>
        <v>0</v>
      </c>
      <c r="S713" s="236"/>
      <c r="T713" s="236"/>
      <c r="U713" s="236">
        <f>SUM(V713:Y713)</f>
        <v>0</v>
      </c>
      <c r="V713" s="236"/>
      <c r="W713" s="232">
        <f>V713*0.304</f>
        <v>0</v>
      </c>
      <c r="X713" s="236"/>
      <c r="Y713" s="236"/>
      <c r="Z713" s="236"/>
    </row>
    <row r="714" spans="1:26" hidden="1" outlineLevel="2">
      <c r="A714" s="19"/>
      <c r="B714" s="323"/>
      <c r="C714" s="207"/>
      <c r="D714" s="208"/>
      <c r="E714" s="133"/>
      <c r="F714" s="261"/>
      <c r="G714" s="138"/>
      <c r="H714" s="135"/>
      <c r="I714" s="206"/>
      <c r="J714" s="206"/>
      <c r="K714" s="206"/>
      <c r="L714" s="137"/>
      <c r="M714" s="163"/>
      <c r="N714" s="163"/>
      <c r="O714" s="163"/>
      <c r="P714" s="205"/>
      <c r="Q714" s="236">
        <f t="shared" ref="Q714:Q720" si="295">SUM(R714,U714)</f>
        <v>0</v>
      </c>
      <c r="R714" s="236">
        <f t="shared" ref="R714:R719" si="296">SUM(S714:T714)</f>
        <v>0</v>
      </c>
      <c r="S714" s="236"/>
      <c r="T714" s="236"/>
      <c r="U714" s="236">
        <f t="shared" ref="U714:U720" si="297">SUM(V714:Y714)</f>
        <v>0</v>
      </c>
      <c r="V714" s="236"/>
      <c r="W714" s="232">
        <f t="shared" ref="W714:W720" si="298">V714*0.304</f>
        <v>0</v>
      </c>
      <c r="X714" s="236"/>
      <c r="Y714" s="236"/>
      <c r="Z714" s="236"/>
    </row>
    <row r="715" spans="1:26" hidden="1" outlineLevel="2">
      <c r="A715" s="19"/>
      <c r="B715" s="323"/>
      <c r="C715" s="207"/>
      <c r="D715" s="208"/>
      <c r="E715" s="133"/>
      <c r="F715" s="261"/>
      <c r="G715" s="138"/>
      <c r="H715" s="135"/>
      <c r="I715" s="206"/>
      <c r="J715" s="206"/>
      <c r="K715" s="206"/>
      <c r="L715" s="137"/>
      <c r="M715" s="163"/>
      <c r="N715" s="163"/>
      <c r="O715" s="163"/>
      <c r="P715" s="205"/>
      <c r="Q715" s="236">
        <f t="shared" si="295"/>
        <v>0</v>
      </c>
      <c r="R715" s="236">
        <f t="shared" si="296"/>
        <v>0</v>
      </c>
      <c r="S715" s="236"/>
      <c r="T715" s="236"/>
      <c r="U715" s="236">
        <f t="shared" si="297"/>
        <v>0</v>
      </c>
      <c r="V715" s="236"/>
      <c r="W715" s="232">
        <f t="shared" si="298"/>
        <v>0</v>
      </c>
      <c r="X715" s="236"/>
      <c r="Y715" s="236"/>
      <c r="Z715" s="236"/>
    </row>
    <row r="716" spans="1:26" hidden="1" outlineLevel="2">
      <c r="A716" s="19"/>
      <c r="B716" s="323"/>
      <c r="C716" s="207"/>
      <c r="D716" s="208"/>
      <c r="E716" s="133"/>
      <c r="F716" s="261"/>
      <c r="G716" s="138"/>
      <c r="H716" s="135"/>
      <c r="I716" s="206"/>
      <c r="J716" s="206"/>
      <c r="K716" s="206"/>
      <c r="L716" s="137"/>
      <c r="M716" s="163"/>
      <c r="N716" s="163"/>
      <c r="O716" s="163"/>
      <c r="P716" s="205"/>
      <c r="Q716" s="236">
        <f t="shared" si="295"/>
        <v>0</v>
      </c>
      <c r="R716" s="236">
        <f t="shared" si="296"/>
        <v>0</v>
      </c>
      <c r="S716" s="236"/>
      <c r="T716" s="236"/>
      <c r="U716" s="236">
        <f t="shared" si="297"/>
        <v>0</v>
      </c>
      <c r="V716" s="236"/>
      <c r="W716" s="232">
        <f t="shared" si="298"/>
        <v>0</v>
      </c>
      <c r="X716" s="236"/>
      <c r="Y716" s="236"/>
      <c r="Z716" s="236"/>
    </row>
    <row r="717" spans="1:26" hidden="1" outlineLevel="2">
      <c r="A717" s="19"/>
      <c r="B717" s="323"/>
      <c r="C717" s="207"/>
      <c r="D717" s="208"/>
      <c r="E717" s="133"/>
      <c r="F717" s="261"/>
      <c r="G717" s="138"/>
      <c r="H717" s="135"/>
      <c r="I717" s="206"/>
      <c r="J717" s="206"/>
      <c r="K717" s="206"/>
      <c r="L717" s="137"/>
      <c r="M717" s="163"/>
      <c r="N717" s="163"/>
      <c r="O717" s="163"/>
      <c r="P717" s="205"/>
      <c r="Q717" s="236">
        <f t="shared" si="295"/>
        <v>0</v>
      </c>
      <c r="R717" s="236">
        <f t="shared" si="296"/>
        <v>0</v>
      </c>
      <c r="S717" s="236"/>
      <c r="T717" s="236"/>
      <c r="U717" s="236">
        <f t="shared" si="297"/>
        <v>0</v>
      </c>
      <c r="V717" s="236"/>
      <c r="W717" s="232">
        <f t="shared" si="298"/>
        <v>0</v>
      </c>
      <c r="X717" s="236"/>
      <c r="Y717" s="236"/>
      <c r="Z717" s="236"/>
    </row>
    <row r="718" spans="1:26" hidden="1" outlineLevel="2">
      <c r="A718" s="160"/>
      <c r="B718" s="323"/>
      <c r="C718" s="207"/>
      <c r="D718" s="208"/>
      <c r="E718" s="133"/>
      <c r="F718" s="261"/>
      <c r="G718" s="138"/>
      <c r="H718" s="139"/>
      <c r="I718" s="206"/>
      <c r="J718" s="206"/>
      <c r="K718" s="206"/>
      <c r="L718" s="137"/>
      <c r="M718" s="74"/>
      <c r="N718" s="74"/>
      <c r="O718" s="234"/>
      <c r="P718" s="205"/>
      <c r="Q718" s="236">
        <f t="shared" si="295"/>
        <v>0</v>
      </c>
      <c r="R718" s="236">
        <f t="shared" si="296"/>
        <v>0</v>
      </c>
      <c r="S718" s="235"/>
      <c r="T718" s="235"/>
      <c r="U718" s="236">
        <f t="shared" si="297"/>
        <v>0</v>
      </c>
      <c r="V718" s="235"/>
      <c r="W718" s="232">
        <f t="shared" si="298"/>
        <v>0</v>
      </c>
      <c r="X718" s="235"/>
      <c r="Y718" s="235"/>
      <c r="Z718" s="235"/>
    </row>
    <row r="719" spans="1:26" hidden="1" outlineLevel="2">
      <c r="A719" s="160"/>
      <c r="B719" s="323"/>
      <c r="C719" s="207"/>
      <c r="D719" s="208"/>
      <c r="E719" s="133"/>
      <c r="F719" s="261"/>
      <c r="G719" s="138"/>
      <c r="H719" s="139"/>
      <c r="I719" s="206"/>
      <c r="J719" s="206"/>
      <c r="K719" s="206"/>
      <c r="L719" s="137"/>
      <c r="M719" s="74"/>
      <c r="N719" s="19"/>
      <c r="O719" s="234"/>
      <c r="P719" s="205"/>
      <c r="Q719" s="236">
        <f t="shared" si="295"/>
        <v>0</v>
      </c>
      <c r="R719" s="236">
        <f t="shared" si="296"/>
        <v>0</v>
      </c>
      <c r="S719" s="235"/>
      <c r="T719" s="235"/>
      <c r="U719" s="236">
        <f t="shared" si="297"/>
        <v>0</v>
      </c>
      <c r="V719" s="235"/>
      <c r="W719" s="232">
        <f t="shared" si="298"/>
        <v>0</v>
      </c>
      <c r="X719" s="235"/>
      <c r="Y719" s="235"/>
      <c r="Z719" s="235"/>
    </row>
    <row r="720" spans="1:26" hidden="1" outlineLevel="2">
      <c r="A720" s="160"/>
      <c r="B720" s="323"/>
      <c r="C720" s="207"/>
      <c r="D720" s="208"/>
      <c r="E720" s="133"/>
      <c r="F720" s="261"/>
      <c r="G720" s="138"/>
      <c r="H720" s="139"/>
      <c r="I720" s="206"/>
      <c r="J720" s="206"/>
      <c r="K720" s="206"/>
      <c r="L720" s="137"/>
      <c r="M720" s="74"/>
      <c r="N720" s="19"/>
      <c r="O720" s="234"/>
      <c r="P720" s="205"/>
      <c r="Q720" s="236">
        <f t="shared" si="295"/>
        <v>0</v>
      </c>
      <c r="R720" s="236">
        <f>SUM(S720:T720)</f>
        <v>0</v>
      </c>
      <c r="S720" s="235"/>
      <c r="T720" s="235"/>
      <c r="U720" s="236">
        <f t="shared" si="297"/>
        <v>0</v>
      </c>
      <c r="V720" s="235"/>
      <c r="W720" s="232">
        <f t="shared" si="298"/>
        <v>0</v>
      </c>
      <c r="X720" s="235"/>
      <c r="Y720" s="235"/>
      <c r="Z720" s="235"/>
    </row>
    <row r="721" spans="1:26" hidden="1" outlineLevel="2">
      <c r="A721" s="160"/>
      <c r="B721" s="74"/>
      <c r="C721" s="207"/>
      <c r="D721" s="208"/>
      <c r="E721" s="133"/>
      <c r="F721" s="261"/>
      <c r="G721" s="138"/>
      <c r="H721" s="139"/>
      <c r="I721" s="206"/>
      <c r="J721" s="206"/>
      <c r="K721" s="206"/>
      <c r="L721" s="137"/>
      <c r="M721" s="74"/>
      <c r="N721" s="19"/>
      <c r="O721" s="234"/>
      <c r="P721" s="205"/>
      <c r="Q721" s="235"/>
      <c r="R721" s="235"/>
      <c r="S721" s="235"/>
      <c r="T721" s="235"/>
      <c r="U721" s="235"/>
      <c r="V721" s="235"/>
      <c r="W721" s="235"/>
      <c r="X721" s="235"/>
      <c r="Y721" s="235"/>
      <c r="Z721" s="235"/>
    </row>
    <row r="722" spans="1:26" s="75" customFormat="1" outlineLevel="1" collapsed="1">
      <c r="A722" s="237"/>
      <c r="B722" s="238"/>
      <c r="C722" s="239"/>
      <c r="D722" s="240"/>
      <c r="E722" s="241"/>
      <c r="F722" s="264"/>
      <c r="G722" s="242"/>
      <c r="H722" s="243"/>
      <c r="I722" s="244"/>
      <c r="J722" s="244"/>
      <c r="K722" s="244"/>
      <c r="L722" s="150" t="str">
        <f>CONCATENATE(L723," ",N723,M723," ",L724," ",N724,M724," ",L725," ",N725,M725," ",L726," ",N726,M726," ",L727," ",N727,M727," ",L728," ",N728,M728," ",L729," ",N729,M729," ",L730," ",N730,M730," ",L731," ",N731,M731," ",L732," ",N732,M732," "," ",L733," ",N733,M733," ",L734," ",N734,M734," ",L735," ",N735,M735," ",L736," ",N736,M736," ",L737," ",N737,M737," ",L738," ",N738,M738)</f>
        <v xml:space="preserve">                                </v>
      </c>
      <c r="M722" s="243"/>
      <c r="N722" s="243"/>
      <c r="O722" s="287">
        <f>SUM(O731:O738)</f>
        <v>0</v>
      </c>
      <c r="P722" s="245"/>
      <c r="Q722" s="246">
        <f>SUM(Q731:Q738)</f>
        <v>0</v>
      </c>
      <c r="R722" s="246">
        <f t="shared" ref="R722:Y722" si="299">SUM(R731:R738)</f>
        <v>0</v>
      </c>
      <c r="S722" s="246">
        <f t="shared" si="299"/>
        <v>0</v>
      </c>
      <c r="T722" s="246">
        <f t="shared" si="299"/>
        <v>0</v>
      </c>
      <c r="U722" s="246">
        <f t="shared" si="299"/>
        <v>0</v>
      </c>
      <c r="V722" s="246">
        <f t="shared" si="299"/>
        <v>0</v>
      </c>
      <c r="W722" s="246">
        <f t="shared" si="299"/>
        <v>0</v>
      </c>
      <c r="X722" s="246">
        <f t="shared" si="299"/>
        <v>0</v>
      </c>
      <c r="Y722" s="246">
        <f t="shared" si="299"/>
        <v>0</v>
      </c>
      <c r="Z722" s="246">
        <f>SUM(Z731:Z738)</f>
        <v>0</v>
      </c>
    </row>
    <row r="723" spans="1:26" hidden="1" outlineLevel="2">
      <c r="A723" s="19"/>
      <c r="B723" s="323"/>
      <c r="C723" s="207"/>
      <c r="D723" s="208"/>
      <c r="E723" s="133"/>
      <c r="F723" s="261"/>
      <c r="G723" s="138"/>
      <c r="H723" s="135"/>
      <c r="I723" s="206"/>
      <c r="J723" s="206"/>
      <c r="K723" s="206"/>
      <c r="L723" s="137"/>
      <c r="M723" s="163"/>
      <c r="N723" s="163"/>
      <c r="O723" s="163"/>
      <c r="P723" s="205"/>
      <c r="Q723" s="236">
        <f>SUM(R723,U723)</f>
        <v>0</v>
      </c>
      <c r="R723" s="236">
        <f>SUM(S723:T723)</f>
        <v>0</v>
      </c>
      <c r="S723" s="236"/>
      <c r="T723" s="236"/>
      <c r="U723" s="236">
        <f>SUM(V723:Y723)</f>
        <v>0</v>
      </c>
      <c r="V723" s="236"/>
      <c r="W723" s="232">
        <f>V723*0.304</f>
        <v>0</v>
      </c>
      <c r="X723" s="236"/>
      <c r="Y723" s="236"/>
      <c r="Z723" s="236"/>
    </row>
    <row r="724" spans="1:26" hidden="1" outlineLevel="2">
      <c r="A724" s="19"/>
      <c r="B724" s="323"/>
      <c r="C724" s="207"/>
      <c r="D724" s="208"/>
      <c r="E724" s="133"/>
      <c r="F724" s="261"/>
      <c r="G724" s="138"/>
      <c r="H724" s="135"/>
      <c r="I724" s="206"/>
      <c r="J724" s="206"/>
      <c r="K724" s="206"/>
      <c r="L724" s="137"/>
      <c r="M724" s="163"/>
      <c r="N724" s="163"/>
      <c r="O724" s="163"/>
      <c r="P724" s="205"/>
      <c r="Q724" s="236">
        <f t="shared" ref="Q724:Q730" si="300">SUM(R724,U724)</f>
        <v>0</v>
      </c>
      <c r="R724" s="236">
        <f t="shared" ref="R724:R729" si="301">SUM(S724:T724)</f>
        <v>0</v>
      </c>
      <c r="S724" s="236"/>
      <c r="T724" s="236"/>
      <c r="U724" s="236">
        <f t="shared" ref="U724:U730" si="302">SUM(V724:Y724)</f>
        <v>0</v>
      </c>
      <c r="V724" s="236"/>
      <c r="W724" s="232">
        <f t="shared" ref="W724:W730" si="303">V724*0.304</f>
        <v>0</v>
      </c>
      <c r="X724" s="236"/>
      <c r="Y724" s="236"/>
      <c r="Z724" s="236"/>
    </row>
    <row r="725" spans="1:26" hidden="1" outlineLevel="2">
      <c r="A725" s="19"/>
      <c r="B725" s="323"/>
      <c r="C725" s="207"/>
      <c r="D725" s="208"/>
      <c r="E725" s="133"/>
      <c r="F725" s="261"/>
      <c r="G725" s="138"/>
      <c r="H725" s="135"/>
      <c r="I725" s="206"/>
      <c r="J725" s="206"/>
      <c r="K725" s="206"/>
      <c r="L725" s="137"/>
      <c r="M725" s="163"/>
      <c r="N725" s="163"/>
      <c r="O725" s="163"/>
      <c r="P725" s="205"/>
      <c r="Q725" s="236">
        <f t="shared" si="300"/>
        <v>0</v>
      </c>
      <c r="R725" s="236">
        <f t="shared" si="301"/>
        <v>0</v>
      </c>
      <c r="S725" s="236"/>
      <c r="T725" s="236"/>
      <c r="U725" s="236">
        <f t="shared" si="302"/>
        <v>0</v>
      </c>
      <c r="V725" s="236"/>
      <c r="W725" s="232">
        <f t="shared" si="303"/>
        <v>0</v>
      </c>
      <c r="X725" s="236"/>
      <c r="Y725" s="236"/>
      <c r="Z725" s="236"/>
    </row>
    <row r="726" spans="1:26" hidden="1" outlineLevel="2">
      <c r="A726" s="19"/>
      <c r="B726" s="323"/>
      <c r="C726" s="207"/>
      <c r="D726" s="208"/>
      <c r="E726" s="133"/>
      <c r="F726" s="261"/>
      <c r="G726" s="138"/>
      <c r="H726" s="135"/>
      <c r="I726" s="206"/>
      <c r="J726" s="206"/>
      <c r="K726" s="206"/>
      <c r="L726" s="137"/>
      <c r="M726" s="163"/>
      <c r="N726" s="163"/>
      <c r="O726" s="163"/>
      <c r="P726" s="205"/>
      <c r="Q726" s="236">
        <f t="shared" si="300"/>
        <v>0</v>
      </c>
      <c r="R726" s="236">
        <f t="shared" si="301"/>
        <v>0</v>
      </c>
      <c r="S726" s="236"/>
      <c r="T726" s="236"/>
      <c r="U726" s="236">
        <f t="shared" si="302"/>
        <v>0</v>
      </c>
      <c r="V726" s="236"/>
      <c r="W726" s="232">
        <f t="shared" si="303"/>
        <v>0</v>
      </c>
      <c r="X726" s="236"/>
      <c r="Y726" s="236"/>
      <c r="Z726" s="236"/>
    </row>
    <row r="727" spans="1:26" hidden="1" outlineLevel="2">
      <c r="A727" s="19"/>
      <c r="B727" s="323"/>
      <c r="C727" s="207"/>
      <c r="D727" s="208"/>
      <c r="E727" s="133"/>
      <c r="F727" s="261"/>
      <c r="G727" s="138"/>
      <c r="H727" s="135"/>
      <c r="I727" s="206"/>
      <c r="J727" s="206"/>
      <c r="K727" s="206"/>
      <c r="L727" s="137"/>
      <c r="M727" s="163"/>
      <c r="N727" s="163"/>
      <c r="O727" s="163"/>
      <c r="P727" s="205"/>
      <c r="Q727" s="236">
        <f t="shared" si="300"/>
        <v>0</v>
      </c>
      <c r="R727" s="236">
        <f t="shared" si="301"/>
        <v>0</v>
      </c>
      <c r="S727" s="236"/>
      <c r="T727" s="236"/>
      <c r="U727" s="236">
        <f t="shared" si="302"/>
        <v>0</v>
      </c>
      <c r="V727" s="236"/>
      <c r="W727" s="232">
        <f t="shared" si="303"/>
        <v>0</v>
      </c>
      <c r="X727" s="236"/>
      <c r="Y727" s="236"/>
      <c r="Z727" s="236"/>
    </row>
    <row r="728" spans="1:26" hidden="1" outlineLevel="2">
      <c r="A728" s="160"/>
      <c r="B728" s="323"/>
      <c r="C728" s="207"/>
      <c r="D728" s="208"/>
      <c r="E728" s="133"/>
      <c r="F728" s="261"/>
      <c r="G728" s="138"/>
      <c r="H728" s="139"/>
      <c r="I728" s="206"/>
      <c r="J728" s="206"/>
      <c r="K728" s="206"/>
      <c r="L728" s="137"/>
      <c r="M728" s="74"/>
      <c r="N728" s="74"/>
      <c r="O728" s="234"/>
      <c r="P728" s="205"/>
      <c r="Q728" s="236">
        <f t="shared" si="300"/>
        <v>0</v>
      </c>
      <c r="R728" s="236">
        <f t="shared" si="301"/>
        <v>0</v>
      </c>
      <c r="S728" s="235"/>
      <c r="T728" s="235"/>
      <c r="U728" s="236">
        <f t="shared" si="302"/>
        <v>0</v>
      </c>
      <c r="V728" s="235"/>
      <c r="W728" s="232">
        <f t="shared" si="303"/>
        <v>0</v>
      </c>
      <c r="X728" s="235"/>
      <c r="Y728" s="235"/>
      <c r="Z728" s="235"/>
    </row>
    <row r="729" spans="1:26" hidden="1" outlineLevel="2">
      <c r="A729" s="160"/>
      <c r="B729" s="323"/>
      <c r="C729" s="207"/>
      <c r="D729" s="208"/>
      <c r="E729" s="133"/>
      <c r="F729" s="261"/>
      <c r="G729" s="138"/>
      <c r="H729" s="139"/>
      <c r="I729" s="206"/>
      <c r="J729" s="206"/>
      <c r="K729" s="206"/>
      <c r="L729" s="137"/>
      <c r="M729" s="74"/>
      <c r="N729" s="19"/>
      <c r="O729" s="234"/>
      <c r="P729" s="205"/>
      <c r="Q729" s="236">
        <f t="shared" si="300"/>
        <v>0</v>
      </c>
      <c r="R729" s="236">
        <f t="shared" si="301"/>
        <v>0</v>
      </c>
      <c r="S729" s="235"/>
      <c r="T729" s="235"/>
      <c r="U729" s="236">
        <f t="shared" si="302"/>
        <v>0</v>
      </c>
      <c r="V729" s="235"/>
      <c r="W729" s="232">
        <f t="shared" si="303"/>
        <v>0</v>
      </c>
      <c r="X729" s="235"/>
      <c r="Y729" s="235"/>
      <c r="Z729" s="235"/>
    </row>
    <row r="730" spans="1:26" hidden="1" outlineLevel="2">
      <c r="A730" s="160"/>
      <c r="B730" s="323"/>
      <c r="C730" s="207"/>
      <c r="D730" s="208"/>
      <c r="E730" s="133"/>
      <c r="F730" s="261"/>
      <c r="G730" s="138"/>
      <c r="H730" s="139"/>
      <c r="I730" s="206"/>
      <c r="J730" s="206"/>
      <c r="K730" s="206"/>
      <c r="L730" s="137"/>
      <c r="M730" s="74"/>
      <c r="N730" s="19"/>
      <c r="O730" s="234"/>
      <c r="P730" s="205"/>
      <c r="Q730" s="236">
        <f t="shared" si="300"/>
        <v>0</v>
      </c>
      <c r="R730" s="236">
        <f>SUM(S730:T730)</f>
        <v>0</v>
      </c>
      <c r="S730" s="235"/>
      <c r="T730" s="235"/>
      <c r="U730" s="236">
        <f t="shared" si="302"/>
        <v>0</v>
      </c>
      <c r="V730" s="235"/>
      <c r="W730" s="232">
        <f t="shared" si="303"/>
        <v>0</v>
      </c>
      <c r="X730" s="235"/>
      <c r="Y730" s="235"/>
      <c r="Z730" s="235"/>
    </row>
    <row r="731" spans="1:26" hidden="1" outlineLevel="2">
      <c r="A731" s="19"/>
      <c r="B731" s="323"/>
      <c r="C731" s="207"/>
      <c r="D731" s="208"/>
      <c r="E731" s="133"/>
      <c r="F731" s="261"/>
      <c r="G731" s="138"/>
      <c r="H731" s="135"/>
      <c r="I731" s="206"/>
      <c r="J731" s="206"/>
      <c r="K731" s="206"/>
      <c r="L731" s="137"/>
      <c r="M731" s="163"/>
      <c r="N731" s="163"/>
      <c r="O731" s="163"/>
      <c r="P731" s="205"/>
      <c r="Q731" s="236">
        <f>SUM(R731,U731)</f>
        <v>0</v>
      </c>
      <c r="R731" s="236">
        <f>SUM(S731:T731)</f>
        <v>0</v>
      </c>
      <c r="S731" s="236"/>
      <c r="T731" s="236"/>
      <c r="U731" s="236">
        <f>SUM(V731:Y731)</f>
        <v>0</v>
      </c>
      <c r="V731" s="236"/>
      <c r="W731" s="232">
        <f>V731*0.304</f>
        <v>0</v>
      </c>
      <c r="X731" s="236"/>
      <c r="Y731" s="236"/>
      <c r="Z731" s="236"/>
    </row>
    <row r="732" spans="1:26" hidden="1" outlineLevel="2">
      <c r="A732" s="19"/>
      <c r="B732" s="323"/>
      <c r="C732" s="207"/>
      <c r="D732" s="208"/>
      <c r="E732" s="133"/>
      <c r="F732" s="261"/>
      <c r="G732" s="138"/>
      <c r="H732" s="135"/>
      <c r="I732" s="206"/>
      <c r="J732" s="206"/>
      <c r="K732" s="206"/>
      <c r="L732" s="137"/>
      <c r="M732" s="163"/>
      <c r="N732" s="163"/>
      <c r="O732" s="163"/>
      <c r="P732" s="205"/>
      <c r="Q732" s="236">
        <f t="shared" ref="Q732:Q738" si="304">SUM(R732,U732)</f>
        <v>0</v>
      </c>
      <c r="R732" s="236">
        <f t="shared" ref="R732:R737" si="305">SUM(S732:T732)</f>
        <v>0</v>
      </c>
      <c r="S732" s="236"/>
      <c r="T732" s="236"/>
      <c r="U732" s="236">
        <f t="shared" ref="U732:U738" si="306">SUM(V732:Y732)</f>
        <v>0</v>
      </c>
      <c r="V732" s="236"/>
      <c r="W732" s="232">
        <f t="shared" ref="W732:W738" si="307">V732*0.304</f>
        <v>0</v>
      </c>
      <c r="X732" s="236"/>
      <c r="Y732" s="236"/>
      <c r="Z732" s="236"/>
    </row>
    <row r="733" spans="1:26" hidden="1" outlineLevel="2">
      <c r="A733" s="19"/>
      <c r="B733" s="323"/>
      <c r="C733" s="207"/>
      <c r="D733" s="208"/>
      <c r="E733" s="133"/>
      <c r="F733" s="261"/>
      <c r="G733" s="138"/>
      <c r="H733" s="135"/>
      <c r="I733" s="206"/>
      <c r="J733" s="206"/>
      <c r="K733" s="206"/>
      <c r="L733" s="137"/>
      <c r="M733" s="163"/>
      <c r="N733" s="163"/>
      <c r="O733" s="163"/>
      <c r="P733" s="205"/>
      <c r="Q733" s="236">
        <f t="shared" si="304"/>
        <v>0</v>
      </c>
      <c r="R733" s="236">
        <f t="shared" si="305"/>
        <v>0</v>
      </c>
      <c r="S733" s="236"/>
      <c r="T733" s="236"/>
      <c r="U733" s="236">
        <f t="shared" si="306"/>
        <v>0</v>
      </c>
      <c r="V733" s="236"/>
      <c r="W733" s="232">
        <f t="shared" si="307"/>
        <v>0</v>
      </c>
      <c r="X733" s="236"/>
      <c r="Y733" s="236"/>
      <c r="Z733" s="236"/>
    </row>
    <row r="734" spans="1:26" hidden="1" outlineLevel="2">
      <c r="A734" s="19"/>
      <c r="B734" s="323"/>
      <c r="C734" s="207"/>
      <c r="D734" s="208"/>
      <c r="E734" s="133"/>
      <c r="F734" s="261"/>
      <c r="G734" s="138"/>
      <c r="H734" s="135"/>
      <c r="I734" s="206"/>
      <c r="J734" s="206"/>
      <c r="K734" s="206"/>
      <c r="L734" s="137"/>
      <c r="M734" s="163"/>
      <c r="N734" s="163"/>
      <c r="O734" s="163"/>
      <c r="P734" s="205"/>
      <c r="Q734" s="236">
        <f t="shared" si="304"/>
        <v>0</v>
      </c>
      <c r="R734" s="236">
        <f t="shared" si="305"/>
        <v>0</v>
      </c>
      <c r="S734" s="236"/>
      <c r="T734" s="236"/>
      <c r="U734" s="236">
        <f t="shared" si="306"/>
        <v>0</v>
      </c>
      <c r="V734" s="236"/>
      <c r="W734" s="232">
        <f t="shared" si="307"/>
        <v>0</v>
      </c>
      <c r="X734" s="236"/>
      <c r="Y734" s="236"/>
      <c r="Z734" s="236"/>
    </row>
    <row r="735" spans="1:26" hidden="1" outlineLevel="2">
      <c r="A735" s="19"/>
      <c r="B735" s="323"/>
      <c r="C735" s="207"/>
      <c r="D735" s="208"/>
      <c r="E735" s="133"/>
      <c r="F735" s="261"/>
      <c r="G735" s="138"/>
      <c r="H735" s="135"/>
      <c r="I735" s="206"/>
      <c r="J735" s="206"/>
      <c r="K735" s="206"/>
      <c r="L735" s="137"/>
      <c r="M735" s="163"/>
      <c r="N735" s="163"/>
      <c r="O735" s="163"/>
      <c r="P735" s="205"/>
      <c r="Q735" s="236">
        <f t="shared" si="304"/>
        <v>0</v>
      </c>
      <c r="R735" s="236">
        <f t="shared" si="305"/>
        <v>0</v>
      </c>
      <c r="S735" s="236"/>
      <c r="T735" s="236"/>
      <c r="U735" s="236">
        <f t="shared" si="306"/>
        <v>0</v>
      </c>
      <c r="V735" s="236"/>
      <c r="W735" s="232">
        <f t="shared" si="307"/>
        <v>0</v>
      </c>
      <c r="X735" s="236"/>
      <c r="Y735" s="236"/>
      <c r="Z735" s="236"/>
    </row>
    <row r="736" spans="1:26" hidden="1" outlineLevel="2">
      <c r="A736" s="160"/>
      <c r="B736" s="323"/>
      <c r="C736" s="207"/>
      <c r="D736" s="208"/>
      <c r="E736" s="133"/>
      <c r="F736" s="261"/>
      <c r="G736" s="138"/>
      <c r="H736" s="139"/>
      <c r="I736" s="206"/>
      <c r="J736" s="206"/>
      <c r="K736" s="206"/>
      <c r="L736" s="137"/>
      <c r="M736" s="74"/>
      <c r="N736" s="74"/>
      <c r="O736" s="234"/>
      <c r="P736" s="205"/>
      <c r="Q736" s="236">
        <f t="shared" si="304"/>
        <v>0</v>
      </c>
      <c r="R736" s="236">
        <f t="shared" si="305"/>
        <v>0</v>
      </c>
      <c r="S736" s="235"/>
      <c r="T736" s="235"/>
      <c r="U736" s="236">
        <f t="shared" si="306"/>
        <v>0</v>
      </c>
      <c r="V736" s="235"/>
      <c r="W736" s="232">
        <f t="shared" si="307"/>
        <v>0</v>
      </c>
      <c r="X736" s="235"/>
      <c r="Y736" s="235"/>
      <c r="Z736" s="235"/>
    </row>
    <row r="737" spans="1:26" hidden="1" outlineLevel="2">
      <c r="A737" s="160"/>
      <c r="B737" s="323"/>
      <c r="C737" s="207"/>
      <c r="D737" s="208"/>
      <c r="E737" s="133"/>
      <c r="F737" s="261"/>
      <c r="G737" s="138"/>
      <c r="H737" s="139"/>
      <c r="I737" s="206"/>
      <c r="J737" s="206"/>
      <c r="K737" s="206"/>
      <c r="L737" s="137"/>
      <c r="M737" s="74"/>
      <c r="N737" s="19"/>
      <c r="O737" s="234"/>
      <c r="P737" s="205"/>
      <c r="Q737" s="236">
        <f t="shared" si="304"/>
        <v>0</v>
      </c>
      <c r="R737" s="236">
        <f t="shared" si="305"/>
        <v>0</v>
      </c>
      <c r="S737" s="235"/>
      <c r="T737" s="235"/>
      <c r="U737" s="236">
        <f t="shared" si="306"/>
        <v>0</v>
      </c>
      <c r="V737" s="235"/>
      <c r="W737" s="232">
        <f t="shared" si="307"/>
        <v>0</v>
      </c>
      <c r="X737" s="235"/>
      <c r="Y737" s="235"/>
      <c r="Z737" s="235"/>
    </row>
    <row r="738" spans="1:26" hidden="1" outlineLevel="2">
      <c r="A738" s="160"/>
      <c r="B738" s="323"/>
      <c r="C738" s="207"/>
      <c r="D738" s="208"/>
      <c r="E738" s="133"/>
      <c r="F738" s="261"/>
      <c r="G738" s="138"/>
      <c r="H738" s="139"/>
      <c r="I738" s="206"/>
      <c r="J738" s="206"/>
      <c r="K738" s="206"/>
      <c r="L738" s="137"/>
      <c r="M738" s="74"/>
      <c r="N738" s="19"/>
      <c r="O738" s="234"/>
      <c r="P738" s="205"/>
      <c r="Q738" s="236">
        <f t="shared" si="304"/>
        <v>0</v>
      </c>
      <c r="R738" s="236">
        <f>SUM(S738:T738)</f>
        <v>0</v>
      </c>
      <c r="S738" s="235"/>
      <c r="T738" s="235"/>
      <c r="U738" s="236">
        <f t="shared" si="306"/>
        <v>0</v>
      </c>
      <c r="V738" s="235"/>
      <c r="W738" s="232">
        <f t="shared" si="307"/>
        <v>0</v>
      </c>
      <c r="X738" s="235"/>
      <c r="Y738" s="235"/>
      <c r="Z738" s="235"/>
    </row>
    <row r="739" spans="1:26" hidden="1" outlineLevel="2">
      <c r="A739" s="160"/>
      <c r="B739" s="74"/>
      <c r="C739" s="207"/>
      <c r="D739" s="208"/>
      <c r="E739" s="133"/>
      <c r="F739" s="261"/>
      <c r="G739" s="138"/>
      <c r="H739" s="139"/>
      <c r="I739" s="206"/>
      <c r="J739" s="206"/>
      <c r="K739" s="206"/>
      <c r="L739" s="137"/>
      <c r="M739" s="74"/>
      <c r="N739" s="19"/>
      <c r="O739" s="234"/>
      <c r="P739" s="205"/>
      <c r="Q739" s="235"/>
      <c r="R739" s="235"/>
      <c r="S739" s="235"/>
      <c r="T739" s="235"/>
      <c r="U739" s="235"/>
      <c r="V739" s="235"/>
      <c r="W739" s="235"/>
      <c r="X739" s="235"/>
      <c r="Y739" s="235"/>
      <c r="Z739" s="235"/>
    </row>
    <row r="740" spans="1:26" s="75" customFormat="1" outlineLevel="1" collapsed="1">
      <c r="A740" s="237"/>
      <c r="B740" s="238"/>
      <c r="C740" s="239"/>
      <c r="D740" s="240"/>
      <c r="E740" s="241"/>
      <c r="F740" s="264"/>
      <c r="G740" s="242"/>
      <c r="H740" s="243"/>
      <c r="I740" s="244"/>
      <c r="J740" s="244"/>
      <c r="K740" s="244"/>
      <c r="L740" s="150" t="str">
        <f>CONCATENATE(L741," ",N741,M741," ",L742," ",N742,M742," ",L743," ",N743,M743," ",L744," ",N744,M744," ",L745," ",N745,M745," ",L746," ",N746,M746," ",L747," ",N747,M747," ",L748," ",N748,M748," ",L749," ",N749,M749," ",L750," ",N750,M750," "," ",L751," ",N751,M751," ",L752," ",N752,M752," ",L753," ",N753,M753," ",L754," ",N754,M754," ",L755," ",N755,M755," ",L756," ",N756,M756)</f>
        <v xml:space="preserve">                                </v>
      </c>
      <c r="M740" s="243"/>
      <c r="N740" s="243"/>
      <c r="O740" s="287">
        <f>SUM(O749:O756)</f>
        <v>0</v>
      </c>
      <c r="P740" s="245"/>
      <c r="Q740" s="246">
        <f>SUM(Q749:Q756)</f>
        <v>0</v>
      </c>
      <c r="R740" s="246">
        <f t="shared" ref="R740:Y740" si="308">SUM(R749:R756)</f>
        <v>0</v>
      </c>
      <c r="S740" s="246">
        <f t="shared" si="308"/>
        <v>0</v>
      </c>
      <c r="T740" s="246">
        <f t="shared" si="308"/>
        <v>0</v>
      </c>
      <c r="U740" s="246">
        <f t="shared" si="308"/>
        <v>0</v>
      </c>
      <c r="V740" s="246">
        <f t="shared" si="308"/>
        <v>0</v>
      </c>
      <c r="W740" s="246">
        <f t="shared" si="308"/>
        <v>0</v>
      </c>
      <c r="X740" s="246">
        <f t="shared" si="308"/>
        <v>0</v>
      </c>
      <c r="Y740" s="246">
        <f t="shared" si="308"/>
        <v>0</v>
      </c>
      <c r="Z740" s="246">
        <f>SUM(Z749:Z756)</f>
        <v>0</v>
      </c>
    </row>
    <row r="741" spans="1:26" hidden="1" outlineLevel="2">
      <c r="A741" s="19"/>
      <c r="B741" s="323"/>
      <c r="C741" s="207"/>
      <c r="D741" s="208"/>
      <c r="E741" s="133"/>
      <c r="F741" s="261"/>
      <c r="G741" s="138"/>
      <c r="H741" s="135"/>
      <c r="I741" s="206"/>
      <c r="J741" s="206"/>
      <c r="K741" s="206"/>
      <c r="L741" s="137"/>
      <c r="M741" s="163"/>
      <c r="N741" s="163"/>
      <c r="O741" s="163"/>
      <c r="P741" s="205"/>
      <c r="Q741" s="236">
        <f>SUM(R741,U741)</f>
        <v>0</v>
      </c>
      <c r="R741" s="236">
        <f>SUM(S741:T741)</f>
        <v>0</v>
      </c>
      <c r="S741" s="236"/>
      <c r="T741" s="236"/>
      <c r="U741" s="236">
        <f>SUM(V741:Y741)</f>
        <v>0</v>
      </c>
      <c r="V741" s="236"/>
      <c r="W741" s="232">
        <f>V741*0.304</f>
        <v>0</v>
      </c>
      <c r="X741" s="236"/>
      <c r="Y741" s="236"/>
      <c r="Z741" s="236"/>
    </row>
    <row r="742" spans="1:26" hidden="1" outlineLevel="2">
      <c r="A742" s="19"/>
      <c r="B742" s="323"/>
      <c r="C742" s="207"/>
      <c r="D742" s="208"/>
      <c r="E742" s="133"/>
      <c r="F742" s="261"/>
      <c r="G742" s="138"/>
      <c r="H742" s="135"/>
      <c r="I742" s="206"/>
      <c r="J742" s="206"/>
      <c r="K742" s="206"/>
      <c r="L742" s="137"/>
      <c r="M742" s="163"/>
      <c r="N742" s="163"/>
      <c r="O742" s="163"/>
      <c r="P742" s="205"/>
      <c r="Q742" s="236">
        <f t="shared" ref="Q742:Q748" si="309">SUM(R742,U742)</f>
        <v>0</v>
      </c>
      <c r="R742" s="236">
        <f t="shared" ref="R742:R747" si="310">SUM(S742:T742)</f>
        <v>0</v>
      </c>
      <c r="S742" s="236"/>
      <c r="T742" s="236"/>
      <c r="U742" s="236">
        <f t="shared" ref="U742:U748" si="311">SUM(V742:Y742)</f>
        <v>0</v>
      </c>
      <c r="V742" s="236"/>
      <c r="W742" s="232">
        <f t="shared" ref="W742:W748" si="312">V742*0.304</f>
        <v>0</v>
      </c>
      <c r="X742" s="236"/>
      <c r="Y742" s="236"/>
      <c r="Z742" s="236"/>
    </row>
    <row r="743" spans="1:26" hidden="1" outlineLevel="2">
      <c r="A743" s="19"/>
      <c r="B743" s="323"/>
      <c r="C743" s="207"/>
      <c r="D743" s="208"/>
      <c r="E743" s="133"/>
      <c r="F743" s="261"/>
      <c r="G743" s="138"/>
      <c r="H743" s="135"/>
      <c r="I743" s="206"/>
      <c r="J743" s="206"/>
      <c r="K743" s="206"/>
      <c r="L743" s="137"/>
      <c r="M743" s="163"/>
      <c r="N743" s="163"/>
      <c r="O743" s="163"/>
      <c r="P743" s="205"/>
      <c r="Q743" s="236">
        <f t="shared" si="309"/>
        <v>0</v>
      </c>
      <c r="R743" s="236">
        <f t="shared" si="310"/>
        <v>0</v>
      </c>
      <c r="S743" s="236"/>
      <c r="T743" s="236"/>
      <c r="U743" s="236">
        <f t="shared" si="311"/>
        <v>0</v>
      </c>
      <c r="V743" s="236"/>
      <c r="W743" s="232">
        <f t="shared" si="312"/>
        <v>0</v>
      </c>
      <c r="X743" s="236"/>
      <c r="Y743" s="236"/>
      <c r="Z743" s="236"/>
    </row>
    <row r="744" spans="1:26" hidden="1" outlineLevel="2">
      <c r="A744" s="19"/>
      <c r="B744" s="323"/>
      <c r="C744" s="207"/>
      <c r="D744" s="208"/>
      <c r="E744" s="133"/>
      <c r="F744" s="261"/>
      <c r="G744" s="138"/>
      <c r="H744" s="135"/>
      <c r="I744" s="206"/>
      <c r="J744" s="206"/>
      <c r="K744" s="206"/>
      <c r="L744" s="137"/>
      <c r="M744" s="163"/>
      <c r="N744" s="163"/>
      <c r="O744" s="163"/>
      <c r="P744" s="205"/>
      <c r="Q744" s="236">
        <f t="shared" si="309"/>
        <v>0</v>
      </c>
      <c r="R744" s="236">
        <f t="shared" si="310"/>
        <v>0</v>
      </c>
      <c r="S744" s="236"/>
      <c r="T744" s="236"/>
      <c r="U744" s="236">
        <f t="shared" si="311"/>
        <v>0</v>
      </c>
      <c r="V744" s="236"/>
      <c r="W744" s="232">
        <f t="shared" si="312"/>
        <v>0</v>
      </c>
      <c r="X744" s="236"/>
      <c r="Y744" s="236"/>
      <c r="Z744" s="236"/>
    </row>
    <row r="745" spans="1:26" hidden="1" outlineLevel="2">
      <c r="A745" s="19"/>
      <c r="B745" s="323"/>
      <c r="C745" s="207"/>
      <c r="D745" s="208"/>
      <c r="E745" s="133"/>
      <c r="F745" s="261"/>
      <c r="G745" s="138"/>
      <c r="H745" s="135"/>
      <c r="I745" s="206"/>
      <c r="J745" s="206"/>
      <c r="K745" s="206"/>
      <c r="L745" s="137"/>
      <c r="M745" s="163"/>
      <c r="N745" s="163"/>
      <c r="O745" s="163"/>
      <c r="P745" s="205"/>
      <c r="Q745" s="236">
        <f t="shared" si="309"/>
        <v>0</v>
      </c>
      <c r="R745" s="236">
        <f t="shared" si="310"/>
        <v>0</v>
      </c>
      <c r="S745" s="236"/>
      <c r="T745" s="236"/>
      <c r="U745" s="236">
        <f t="shared" si="311"/>
        <v>0</v>
      </c>
      <c r="V745" s="236"/>
      <c r="W745" s="232">
        <f t="shared" si="312"/>
        <v>0</v>
      </c>
      <c r="X745" s="236"/>
      <c r="Y745" s="236"/>
      <c r="Z745" s="236"/>
    </row>
    <row r="746" spans="1:26" hidden="1" outlineLevel="2">
      <c r="A746" s="160"/>
      <c r="B746" s="323"/>
      <c r="C746" s="207"/>
      <c r="D746" s="208"/>
      <c r="E746" s="133"/>
      <c r="F746" s="261"/>
      <c r="G746" s="138"/>
      <c r="H746" s="139"/>
      <c r="I746" s="206"/>
      <c r="J746" s="206"/>
      <c r="K746" s="206"/>
      <c r="L746" s="137"/>
      <c r="M746" s="74"/>
      <c r="N746" s="74"/>
      <c r="O746" s="234"/>
      <c r="P746" s="205"/>
      <c r="Q746" s="236">
        <f t="shared" si="309"/>
        <v>0</v>
      </c>
      <c r="R746" s="236">
        <f t="shared" si="310"/>
        <v>0</v>
      </c>
      <c r="S746" s="235"/>
      <c r="T746" s="235"/>
      <c r="U746" s="236">
        <f t="shared" si="311"/>
        <v>0</v>
      </c>
      <c r="V746" s="235"/>
      <c r="W746" s="232">
        <f t="shared" si="312"/>
        <v>0</v>
      </c>
      <c r="X746" s="235"/>
      <c r="Y746" s="235"/>
      <c r="Z746" s="235"/>
    </row>
    <row r="747" spans="1:26" hidden="1" outlineLevel="2">
      <c r="A747" s="160"/>
      <c r="B747" s="323"/>
      <c r="C747" s="207"/>
      <c r="D747" s="208"/>
      <c r="E747" s="133"/>
      <c r="F747" s="261"/>
      <c r="G747" s="138"/>
      <c r="H747" s="139"/>
      <c r="I747" s="206"/>
      <c r="J747" s="206"/>
      <c r="K747" s="206"/>
      <c r="L747" s="137"/>
      <c r="M747" s="74"/>
      <c r="N747" s="19"/>
      <c r="O747" s="234"/>
      <c r="P747" s="205"/>
      <c r="Q747" s="236">
        <f t="shared" si="309"/>
        <v>0</v>
      </c>
      <c r="R747" s="236">
        <f t="shared" si="310"/>
        <v>0</v>
      </c>
      <c r="S747" s="235"/>
      <c r="T747" s="235"/>
      <c r="U747" s="236">
        <f t="shared" si="311"/>
        <v>0</v>
      </c>
      <c r="V747" s="235"/>
      <c r="W747" s="232">
        <f t="shared" si="312"/>
        <v>0</v>
      </c>
      <c r="X747" s="235"/>
      <c r="Y747" s="235"/>
      <c r="Z747" s="235"/>
    </row>
    <row r="748" spans="1:26" hidden="1" outlineLevel="2">
      <c r="A748" s="160"/>
      <c r="B748" s="323"/>
      <c r="C748" s="207"/>
      <c r="D748" s="208"/>
      <c r="E748" s="133"/>
      <c r="F748" s="261"/>
      <c r="G748" s="138"/>
      <c r="H748" s="139"/>
      <c r="I748" s="206"/>
      <c r="J748" s="206"/>
      <c r="K748" s="206"/>
      <c r="L748" s="137"/>
      <c r="M748" s="74"/>
      <c r="N748" s="19"/>
      <c r="O748" s="234"/>
      <c r="P748" s="205"/>
      <c r="Q748" s="236">
        <f t="shared" si="309"/>
        <v>0</v>
      </c>
      <c r="R748" s="236">
        <f>SUM(S748:T748)</f>
        <v>0</v>
      </c>
      <c r="S748" s="235"/>
      <c r="T748" s="235"/>
      <c r="U748" s="236">
        <f t="shared" si="311"/>
        <v>0</v>
      </c>
      <c r="V748" s="235"/>
      <c r="W748" s="232">
        <f t="shared" si="312"/>
        <v>0</v>
      </c>
      <c r="X748" s="235"/>
      <c r="Y748" s="235"/>
      <c r="Z748" s="235"/>
    </row>
    <row r="749" spans="1:26" hidden="1" outlineLevel="2">
      <c r="A749" s="19"/>
      <c r="B749" s="323"/>
      <c r="C749" s="207"/>
      <c r="D749" s="208"/>
      <c r="E749" s="133"/>
      <c r="F749" s="261"/>
      <c r="G749" s="138"/>
      <c r="H749" s="135"/>
      <c r="I749" s="206"/>
      <c r="J749" s="206"/>
      <c r="K749" s="206"/>
      <c r="L749" s="137"/>
      <c r="M749" s="163"/>
      <c r="N749" s="163"/>
      <c r="O749" s="163"/>
      <c r="P749" s="205"/>
      <c r="Q749" s="236">
        <f>SUM(R749,U749)</f>
        <v>0</v>
      </c>
      <c r="R749" s="236">
        <f>SUM(S749:T749)</f>
        <v>0</v>
      </c>
      <c r="S749" s="236"/>
      <c r="T749" s="236"/>
      <c r="U749" s="236">
        <f>SUM(V749:Y749)</f>
        <v>0</v>
      </c>
      <c r="V749" s="236"/>
      <c r="W749" s="232">
        <f>V749*0.304</f>
        <v>0</v>
      </c>
      <c r="X749" s="236"/>
      <c r="Y749" s="236"/>
      <c r="Z749" s="236"/>
    </row>
    <row r="750" spans="1:26" hidden="1" outlineLevel="2">
      <c r="A750" s="19"/>
      <c r="B750" s="323"/>
      <c r="C750" s="207"/>
      <c r="D750" s="208"/>
      <c r="E750" s="133"/>
      <c r="F750" s="261"/>
      <c r="G750" s="138"/>
      <c r="H750" s="135"/>
      <c r="I750" s="206"/>
      <c r="J750" s="206"/>
      <c r="K750" s="206"/>
      <c r="L750" s="137"/>
      <c r="M750" s="163"/>
      <c r="N750" s="163"/>
      <c r="O750" s="163"/>
      <c r="P750" s="205"/>
      <c r="Q750" s="236">
        <f t="shared" ref="Q750:Q756" si="313">SUM(R750,U750)</f>
        <v>0</v>
      </c>
      <c r="R750" s="236">
        <f t="shared" ref="R750:R755" si="314">SUM(S750:T750)</f>
        <v>0</v>
      </c>
      <c r="S750" s="236"/>
      <c r="T750" s="236"/>
      <c r="U750" s="236">
        <f t="shared" ref="U750:U756" si="315">SUM(V750:Y750)</f>
        <v>0</v>
      </c>
      <c r="V750" s="236"/>
      <c r="W750" s="232">
        <f t="shared" ref="W750:W756" si="316">V750*0.304</f>
        <v>0</v>
      </c>
      <c r="X750" s="236"/>
      <c r="Y750" s="236"/>
      <c r="Z750" s="236"/>
    </row>
    <row r="751" spans="1:26" hidden="1" outlineLevel="2">
      <c r="A751" s="19"/>
      <c r="B751" s="323"/>
      <c r="C751" s="207"/>
      <c r="D751" s="208"/>
      <c r="E751" s="133"/>
      <c r="F751" s="261"/>
      <c r="G751" s="138"/>
      <c r="H751" s="135"/>
      <c r="I751" s="206"/>
      <c r="J751" s="206"/>
      <c r="K751" s="206"/>
      <c r="L751" s="137"/>
      <c r="M751" s="163"/>
      <c r="N751" s="163"/>
      <c r="O751" s="163"/>
      <c r="P751" s="205"/>
      <c r="Q751" s="236">
        <f t="shared" si="313"/>
        <v>0</v>
      </c>
      <c r="R751" s="236">
        <f t="shared" si="314"/>
        <v>0</v>
      </c>
      <c r="S751" s="236"/>
      <c r="T751" s="236"/>
      <c r="U751" s="236">
        <f t="shared" si="315"/>
        <v>0</v>
      </c>
      <c r="V751" s="236"/>
      <c r="W751" s="232">
        <f t="shared" si="316"/>
        <v>0</v>
      </c>
      <c r="X751" s="236"/>
      <c r="Y751" s="236"/>
      <c r="Z751" s="236"/>
    </row>
    <row r="752" spans="1:26" hidden="1" outlineLevel="2">
      <c r="A752" s="19"/>
      <c r="B752" s="323"/>
      <c r="C752" s="207"/>
      <c r="D752" s="208"/>
      <c r="E752" s="133"/>
      <c r="F752" s="261"/>
      <c r="G752" s="138"/>
      <c r="H752" s="135"/>
      <c r="I752" s="206"/>
      <c r="J752" s="206"/>
      <c r="K752" s="206"/>
      <c r="L752" s="137"/>
      <c r="M752" s="163"/>
      <c r="N752" s="163"/>
      <c r="O752" s="163"/>
      <c r="P752" s="205"/>
      <c r="Q752" s="236">
        <f t="shared" si="313"/>
        <v>0</v>
      </c>
      <c r="R752" s="236">
        <f t="shared" si="314"/>
        <v>0</v>
      </c>
      <c r="S752" s="236"/>
      <c r="T752" s="236"/>
      <c r="U752" s="236">
        <f t="shared" si="315"/>
        <v>0</v>
      </c>
      <c r="V752" s="236"/>
      <c r="W752" s="232">
        <f t="shared" si="316"/>
        <v>0</v>
      </c>
      <c r="X752" s="236"/>
      <c r="Y752" s="236"/>
      <c r="Z752" s="236"/>
    </row>
    <row r="753" spans="1:26" hidden="1" outlineLevel="2">
      <c r="A753" s="19"/>
      <c r="B753" s="323"/>
      <c r="C753" s="207"/>
      <c r="D753" s="208"/>
      <c r="E753" s="133"/>
      <c r="F753" s="261"/>
      <c r="G753" s="138"/>
      <c r="H753" s="135"/>
      <c r="I753" s="206"/>
      <c r="J753" s="206"/>
      <c r="K753" s="206"/>
      <c r="L753" s="137"/>
      <c r="M753" s="163"/>
      <c r="N753" s="163"/>
      <c r="O753" s="163"/>
      <c r="P753" s="205"/>
      <c r="Q753" s="236">
        <f t="shared" si="313"/>
        <v>0</v>
      </c>
      <c r="R753" s="236">
        <f t="shared" si="314"/>
        <v>0</v>
      </c>
      <c r="S753" s="236"/>
      <c r="T753" s="236"/>
      <c r="U753" s="236">
        <f t="shared" si="315"/>
        <v>0</v>
      </c>
      <c r="V753" s="236"/>
      <c r="W753" s="232">
        <f t="shared" si="316"/>
        <v>0</v>
      </c>
      <c r="X753" s="236"/>
      <c r="Y753" s="236"/>
      <c r="Z753" s="236"/>
    </row>
    <row r="754" spans="1:26" hidden="1" outlineLevel="2">
      <c r="A754" s="160"/>
      <c r="B754" s="323"/>
      <c r="C754" s="207"/>
      <c r="D754" s="208"/>
      <c r="E754" s="133"/>
      <c r="F754" s="261"/>
      <c r="G754" s="138"/>
      <c r="H754" s="139"/>
      <c r="I754" s="206"/>
      <c r="J754" s="206"/>
      <c r="K754" s="206"/>
      <c r="L754" s="137"/>
      <c r="M754" s="74"/>
      <c r="N754" s="74"/>
      <c r="O754" s="234"/>
      <c r="P754" s="205"/>
      <c r="Q754" s="236">
        <f t="shared" si="313"/>
        <v>0</v>
      </c>
      <c r="R754" s="236">
        <f t="shared" si="314"/>
        <v>0</v>
      </c>
      <c r="S754" s="235"/>
      <c r="T754" s="235"/>
      <c r="U754" s="236">
        <f t="shared" si="315"/>
        <v>0</v>
      </c>
      <c r="V754" s="235"/>
      <c r="W754" s="232">
        <f t="shared" si="316"/>
        <v>0</v>
      </c>
      <c r="X754" s="235"/>
      <c r="Y754" s="235"/>
      <c r="Z754" s="235"/>
    </row>
    <row r="755" spans="1:26" hidden="1" outlineLevel="2">
      <c r="A755" s="160"/>
      <c r="B755" s="323"/>
      <c r="C755" s="207"/>
      <c r="D755" s="208"/>
      <c r="E755" s="133"/>
      <c r="F755" s="261"/>
      <c r="G755" s="138"/>
      <c r="H755" s="139"/>
      <c r="I755" s="206"/>
      <c r="J755" s="206"/>
      <c r="K755" s="206"/>
      <c r="L755" s="137"/>
      <c r="M755" s="74"/>
      <c r="N755" s="19"/>
      <c r="O755" s="234"/>
      <c r="P755" s="205"/>
      <c r="Q755" s="236">
        <f t="shared" si="313"/>
        <v>0</v>
      </c>
      <c r="R755" s="236">
        <f t="shared" si="314"/>
        <v>0</v>
      </c>
      <c r="S755" s="235"/>
      <c r="T755" s="235"/>
      <c r="U755" s="236">
        <f t="shared" si="315"/>
        <v>0</v>
      </c>
      <c r="V755" s="235"/>
      <c r="W755" s="232">
        <f t="shared" si="316"/>
        <v>0</v>
      </c>
      <c r="X755" s="235"/>
      <c r="Y755" s="235"/>
      <c r="Z755" s="235"/>
    </row>
    <row r="756" spans="1:26" hidden="1" outlineLevel="2">
      <c r="A756" s="160"/>
      <c r="B756" s="323"/>
      <c r="C756" s="207"/>
      <c r="D756" s="208"/>
      <c r="E756" s="133"/>
      <c r="F756" s="261"/>
      <c r="G756" s="138"/>
      <c r="H756" s="139"/>
      <c r="I756" s="206"/>
      <c r="J756" s="206"/>
      <c r="K756" s="206"/>
      <c r="L756" s="137"/>
      <c r="M756" s="74"/>
      <c r="N756" s="19"/>
      <c r="O756" s="234"/>
      <c r="P756" s="205"/>
      <c r="Q756" s="236">
        <f t="shared" si="313"/>
        <v>0</v>
      </c>
      <c r="R756" s="236">
        <f>SUM(S756:T756)</f>
        <v>0</v>
      </c>
      <c r="S756" s="235"/>
      <c r="T756" s="235"/>
      <c r="U756" s="236">
        <f t="shared" si="315"/>
        <v>0</v>
      </c>
      <c r="V756" s="235"/>
      <c r="W756" s="232">
        <f t="shared" si="316"/>
        <v>0</v>
      </c>
      <c r="X756" s="235"/>
      <c r="Y756" s="235"/>
      <c r="Z756" s="235"/>
    </row>
    <row r="757" spans="1:26" hidden="1" outlineLevel="2">
      <c r="A757" s="160"/>
      <c r="B757" s="74"/>
      <c r="C757" s="207"/>
      <c r="D757" s="208"/>
      <c r="E757" s="133"/>
      <c r="F757" s="261"/>
      <c r="G757" s="138"/>
      <c r="H757" s="139"/>
      <c r="I757" s="206"/>
      <c r="J757" s="206"/>
      <c r="K757" s="206"/>
      <c r="L757" s="137"/>
      <c r="M757" s="74"/>
      <c r="N757" s="19"/>
      <c r="O757" s="234"/>
      <c r="P757" s="205"/>
      <c r="Q757" s="235"/>
      <c r="R757" s="235"/>
      <c r="S757" s="235"/>
      <c r="T757" s="235"/>
      <c r="U757" s="235"/>
      <c r="V757" s="235"/>
      <c r="W757" s="235"/>
      <c r="X757" s="235"/>
      <c r="Y757" s="235"/>
      <c r="Z757" s="235"/>
    </row>
    <row r="758" spans="1:26" s="75" customFormat="1" outlineLevel="1" collapsed="1">
      <c r="A758" s="237"/>
      <c r="B758" s="238"/>
      <c r="C758" s="239"/>
      <c r="D758" s="240"/>
      <c r="E758" s="241"/>
      <c r="F758" s="264"/>
      <c r="G758" s="242"/>
      <c r="H758" s="243"/>
      <c r="I758" s="244"/>
      <c r="J758" s="244"/>
      <c r="K758" s="244"/>
      <c r="L758" s="150" t="str">
        <f>CONCATENATE(L759," ",N759,M759," ",L760," ",N760,M760," ",L761," ",N761,M761," ",L762," ",N762,M762," ",L763," ",N763,M763," ",L764," ",N764,M764," ",L765," ",N765,M765," ",L766," ",N766,M766," ",L767," ",N767,M767," ",L768," ",N768,M768," "," ",L769," ",N769,M769," ",L770," ",N770,M770," ",L771," ",N771,M771," ",L772," ",N772,M772," ",L773," ",N773,M773," ",L774," ",N774,M774)</f>
        <v xml:space="preserve">                                </v>
      </c>
      <c r="M758" s="243"/>
      <c r="N758" s="243"/>
      <c r="O758" s="287">
        <f>SUM(O767:O774)</f>
        <v>0</v>
      </c>
      <c r="P758" s="245"/>
      <c r="Q758" s="246">
        <f>SUM(Q767:Q774)</f>
        <v>0</v>
      </c>
      <c r="R758" s="246">
        <f t="shared" ref="R758:Y758" si="317">SUM(R767:R774)</f>
        <v>0</v>
      </c>
      <c r="S758" s="246">
        <f t="shared" si="317"/>
        <v>0</v>
      </c>
      <c r="T758" s="246">
        <f t="shared" si="317"/>
        <v>0</v>
      </c>
      <c r="U758" s="246">
        <f t="shared" si="317"/>
        <v>0</v>
      </c>
      <c r="V758" s="246">
        <f t="shared" si="317"/>
        <v>0</v>
      </c>
      <c r="W758" s="246">
        <f t="shared" si="317"/>
        <v>0</v>
      </c>
      <c r="X758" s="246">
        <f t="shared" si="317"/>
        <v>0</v>
      </c>
      <c r="Y758" s="246">
        <f t="shared" si="317"/>
        <v>0</v>
      </c>
      <c r="Z758" s="246">
        <f>SUM(Z767:Z774)</f>
        <v>0</v>
      </c>
    </row>
    <row r="759" spans="1:26" hidden="1" outlineLevel="2">
      <c r="A759" s="19"/>
      <c r="B759" s="323"/>
      <c r="C759" s="207"/>
      <c r="D759" s="208"/>
      <c r="E759" s="133"/>
      <c r="F759" s="261"/>
      <c r="G759" s="138"/>
      <c r="H759" s="135"/>
      <c r="I759" s="206"/>
      <c r="J759" s="206"/>
      <c r="K759" s="206"/>
      <c r="L759" s="137"/>
      <c r="M759" s="163"/>
      <c r="N759" s="163"/>
      <c r="O759" s="163"/>
      <c r="P759" s="205"/>
      <c r="Q759" s="236">
        <f>SUM(R759,U759)</f>
        <v>0</v>
      </c>
      <c r="R759" s="236">
        <f>SUM(S759:T759)</f>
        <v>0</v>
      </c>
      <c r="S759" s="236"/>
      <c r="T759" s="236"/>
      <c r="U759" s="236">
        <f>SUM(V759:Y759)</f>
        <v>0</v>
      </c>
      <c r="V759" s="236"/>
      <c r="W759" s="232">
        <f>V759*0.304</f>
        <v>0</v>
      </c>
      <c r="X759" s="236"/>
      <c r="Y759" s="236"/>
      <c r="Z759" s="236"/>
    </row>
    <row r="760" spans="1:26" hidden="1" outlineLevel="2">
      <c r="A760" s="19"/>
      <c r="B760" s="323"/>
      <c r="C760" s="207"/>
      <c r="D760" s="208"/>
      <c r="E760" s="133"/>
      <c r="F760" s="261"/>
      <c r="G760" s="138"/>
      <c r="H760" s="135"/>
      <c r="I760" s="206"/>
      <c r="J760" s="206"/>
      <c r="K760" s="206"/>
      <c r="L760" s="137"/>
      <c r="M760" s="163"/>
      <c r="N760" s="163"/>
      <c r="O760" s="163"/>
      <c r="P760" s="205"/>
      <c r="Q760" s="236">
        <f t="shared" ref="Q760:Q766" si="318">SUM(R760,U760)</f>
        <v>0</v>
      </c>
      <c r="R760" s="236">
        <f t="shared" ref="R760:R765" si="319">SUM(S760:T760)</f>
        <v>0</v>
      </c>
      <c r="S760" s="236"/>
      <c r="T760" s="236"/>
      <c r="U760" s="236">
        <f t="shared" ref="U760:U766" si="320">SUM(V760:Y760)</f>
        <v>0</v>
      </c>
      <c r="V760" s="236"/>
      <c r="W760" s="232">
        <f t="shared" ref="W760:W766" si="321">V760*0.304</f>
        <v>0</v>
      </c>
      <c r="X760" s="236"/>
      <c r="Y760" s="236"/>
      <c r="Z760" s="236"/>
    </row>
    <row r="761" spans="1:26" hidden="1" outlineLevel="2">
      <c r="A761" s="19"/>
      <c r="B761" s="323"/>
      <c r="C761" s="207"/>
      <c r="D761" s="208"/>
      <c r="E761" s="133"/>
      <c r="F761" s="261"/>
      <c r="G761" s="138"/>
      <c r="H761" s="135"/>
      <c r="I761" s="206"/>
      <c r="J761" s="206"/>
      <c r="K761" s="206"/>
      <c r="L761" s="137"/>
      <c r="M761" s="163"/>
      <c r="N761" s="163"/>
      <c r="O761" s="163"/>
      <c r="P761" s="205"/>
      <c r="Q761" s="236">
        <f t="shared" si="318"/>
        <v>0</v>
      </c>
      <c r="R761" s="236">
        <f t="shared" si="319"/>
        <v>0</v>
      </c>
      <c r="S761" s="236"/>
      <c r="T761" s="236"/>
      <c r="U761" s="236">
        <f t="shared" si="320"/>
        <v>0</v>
      </c>
      <c r="V761" s="236"/>
      <c r="W761" s="232">
        <f t="shared" si="321"/>
        <v>0</v>
      </c>
      <c r="X761" s="236"/>
      <c r="Y761" s="236"/>
      <c r="Z761" s="236"/>
    </row>
    <row r="762" spans="1:26" hidden="1" outlineLevel="2">
      <c r="A762" s="19"/>
      <c r="B762" s="323"/>
      <c r="C762" s="207"/>
      <c r="D762" s="208"/>
      <c r="E762" s="133"/>
      <c r="F762" s="261"/>
      <c r="G762" s="138"/>
      <c r="H762" s="135"/>
      <c r="I762" s="206"/>
      <c r="J762" s="206"/>
      <c r="K762" s="206"/>
      <c r="L762" s="137"/>
      <c r="M762" s="163"/>
      <c r="N762" s="163"/>
      <c r="O762" s="163"/>
      <c r="P762" s="205"/>
      <c r="Q762" s="236">
        <f t="shared" si="318"/>
        <v>0</v>
      </c>
      <c r="R762" s="236">
        <f t="shared" si="319"/>
        <v>0</v>
      </c>
      <c r="S762" s="236"/>
      <c r="T762" s="236"/>
      <c r="U762" s="236">
        <f t="shared" si="320"/>
        <v>0</v>
      </c>
      <c r="V762" s="236"/>
      <c r="W762" s="232">
        <f t="shared" si="321"/>
        <v>0</v>
      </c>
      <c r="X762" s="236"/>
      <c r="Y762" s="236"/>
      <c r="Z762" s="236"/>
    </row>
    <row r="763" spans="1:26" hidden="1" outlineLevel="2">
      <c r="A763" s="19"/>
      <c r="B763" s="323"/>
      <c r="C763" s="207"/>
      <c r="D763" s="208"/>
      <c r="E763" s="133"/>
      <c r="F763" s="261"/>
      <c r="G763" s="138"/>
      <c r="H763" s="135"/>
      <c r="I763" s="206"/>
      <c r="J763" s="206"/>
      <c r="K763" s="206"/>
      <c r="L763" s="137"/>
      <c r="M763" s="163"/>
      <c r="N763" s="163"/>
      <c r="O763" s="163"/>
      <c r="P763" s="205"/>
      <c r="Q763" s="236">
        <f t="shared" si="318"/>
        <v>0</v>
      </c>
      <c r="R763" s="236">
        <f t="shared" si="319"/>
        <v>0</v>
      </c>
      <c r="S763" s="236"/>
      <c r="T763" s="236"/>
      <c r="U763" s="236">
        <f t="shared" si="320"/>
        <v>0</v>
      </c>
      <c r="V763" s="236"/>
      <c r="W763" s="232">
        <f t="shared" si="321"/>
        <v>0</v>
      </c>
      <c r="X763" s="236"/>
      <c r="Y763" s="236"/>
      <c r="Z763" s="236"/>
    </row>
    <row r="764" spans="1:26" hidden="1" outlineLevel="2">
      <c r="A764" s="160"/>
      <c r="B764" s="323"/>
      <c r="C764" s="207"/>
      <c r="D764" s="208"/>
      <c r="E764" s="133"/>
      <c r="F764" s="261"/>
      <c r="G764" s="138"/>
      <c r="H764" s="139"/>
      <c r="I764" s="206"/>
      <c r="J764" s="206"/>
      <c r="K764" s="206"/>
      <c r="L764" s="137"/>
      <c r="M764" s="74"/>
      <c r="N764" s="74"/>
      <c r="O764" s="234"/>
      <c r="P764" s="205"/>
      <c r="Q764" s="236">
        <f t="shared" si="318"/>
        <v>0</v>
      </c>
      <c r="R764" s="236">
        <f t="shared" si="319"/>
        <v>0</v>
      </c>
      <c r="S764" s="235"/>
      <c r="T764" s="235"/>
      <c r="U764" s="236">
        <f t="shared" si="320"/>
        <v>0</v>
      </c>
      <c r="V764" s="235"/>
      <c r="W764" s="232">
        <f t="shared" si="321"/>
        <v>0</v>
      </c>
      <c r="X764" s="235"/>
      <c r="Y764" s="235"/>
      <c r="Z764" s="235"/>
    </row>
    <row r="765" spans="1:26" hidden="1" outlineLevel="2">
      <c r="A765" s="160"/>
      <c r="B765" s="323"/>
      <c r="C765" s="207"/>
      <c r="D765" s="208"/>
      <c r="E765" s="133"/>
      <c r="F765" s="261"/>
      <c r="G765" s="138"/>
      <c r="H765" s="139"/>
      <c r="I765" s="206"/>
      <c r="J765" s="206"/>
      <c r="K765" s="206"/>
      <c r="L765" s="137"/>
      <c r="M765" s="74"/>
      <c r="N765" s="19"/>
      <c r="O765" s="234"/>
      <c r="P765" s="205"/>
      <c r="Q765" s="236">
        <f t="shared" si="318"/>
        <v>0</v>
      </c>
      <c r="R765" s="236">
        <f t="shared" si="319"/>
        <v>0</v>
      </c>
      <c r="S765" s="235"/>
      <c r="T765" s="235"/>
      <c r="U765" s="236">
        <f t="shared" si="320"/>
        <v>0</v>
      </c>
      <c r="V765" s="235"/>
      <c r="W765" s="232">
        <f t="shared" si="321"/>
        <v>0</v>
      </c>
      <c r="X765" s="235"/>
      <c r="Y765" s="235"/>
      <c r="Z765" s="235"/>
    </row>
    <row r="766" spans="1:26" hidden="1" outlineLevel="2">
      <c r="A766" s="160"/>
      <c r="B766" s="323"/>
      <c r="C766" s="207"/>
      <c r="D766" s="208"/>
      <c r="E766" s="133"/>
      <c r="F766" s="261"/>
      <c r="G766" s="138"/>
      <c r="H766" s="139"/>
      <c r="I766" s="206"/>
      <c r="J766" s="206"/>
      <c r="K766" s="206"/>
      <c r="L766" s="137"/>
      <c r="M766" s="74"/>
      <c r="N766" s="19"/>
      <c r="O766" s="234"/>
      <c r="P766" s="205"/>
      <c r="Q766" s="236">
        <f t="shared" si="318"/>
        <v>0</v>
      </c>
      <c r="R766" s="236">
        <f>SUM(S766:T766)</f>
        <v>0</v>
      </c>
      <c r="S766" s="235"/>
      <c r="T766" s="235"/>
      <c r="U766" s="236">
        <f t="shared" si="320"/>
        <v>0</v>
      </c>
      <c r="V766" s="235"/>
      <c r="W766" s="232">
        <f t="shared" si="321"/>
        <v>0</v>
      </c>
      <c r="X766" s="235"/>
      <c r="Y766" s="235"/>
      <c r="Z766" s="235"/>
    </row>
    <row r="767" spans="1:26" hidden="1" outlineLevel="2">
      <c r="A767" s="19"/>
      <c r="B767" s="323"/>
      <c r="C767" s="207"/>
      <c r="D767" s="208"/>
      <c r="E767" s="133"/>
      <c r="F767" s="261"/>
      <c r="G767" s="138"/>
      <c r="H767" s="135"/>
      <c r="I767" s="206"/>
      <c r="J767" s="206"/>
      <c r="K767" s="206"/>
      <c r="L767" s="137"/>
      <c r="M767" s="163"/>
      <c r="N767" s="163"/>
      <c r="O767" s="163"/>
      <c r="P767" s="205"/>
      <c r="Q767" s="236">
        <f>SUM(R767,U767)</f>
        <v>0</v>
      </c>
      <c r="R767" s="236">
        <f>SUM(S767:T767)</f>
        <v>0</v>
      </c>
      <c r="S767" s="236"/>
      <c r="T767" s="236"/>
      <c r="U767" s="236">
        <f>SUM(V767:Y767)</f>
        <v>0</v>
      </c>
      <c r="V767" s="236"/>
      <c r="W767" s="232">
        <f>V767*0.304</f>
        <v>0</v>
      </c>
      <c r="X767" s="236"/>
      <c r="Y767" s="236"/>
      <c r="Z767" s="236"/>
    </row>
    <row r="768" spans="1:26" hidden="1" outlineLevel="2">
      <c r="A768" s="19"/>
      <c r="B768" s="323"/>
      <c r="C768" s="207"/>
      <c r="D768" s="208"/>
      <c r="E768" s="133"/>
      <c r="F768" s="261"/>
      <c r="G768" s="138"/>
      <c r="H768" s="135"/>
      <c r="I768" s="206"/>
      <c r="J768" s="206"/>
      <c r="K768" s="206"/>
      <c r="L768" s="137"/>
      <c r="M768" s="163"/>
      <c r="N768" s="163"/>
      <c r="O768" s="163"/>
      <c r="P768" s="205"/>
      <c r="Q768" s="236">
        <f t="shared" ref="Q768:Q774" si="322">SUM(R768,U768)</f>
        <v>0</v>
      </c>
      <c r="R768" s="236">
        <f t="shared" ref="R768:R773" si="323">SUM(S768:T768)</f>
        <v>0</v>
      </c>
      <c r="S768" s="236"/>
      <c r="T768" s="236"/>
      <c r="U768" s="236">
        <f t="shared" ref="U768:U774" si="324">SUM(V768:Y768)</f>
        <v>0</v>
      </c>
      <c r="V768" s="236"/>
      <c r="W768" s="232">
        <f t="shared" ref="W768:W774" si="325">V768*0.304</f>
        <v>0</v>
      </c>
      <c r="X768" s="236"/>
      <c r="Y768" s="236"/>
      <c r="Z768" s="236"/>
    </row>
    <row r="769" spans="1:26" hidden="1" outlineLevel="2">
      <c r="A769" s="19"/>
      <c r="B769" s="323"/>
      <c r="C769" s="207"/>
      <c r="D769" s="208"/>
      <c r="E769" s="133"/>
      <c r="F769" s="261"/>
      <c r="G769" s="138"/>
      <c r="H769" s="135"/>
      <c r="I769" s="206"/>
      <c r="J769" s="206"/>
      <c r="K769" s="206"/>
      <c r="L769" s="137"/>
      <c r="M769" s="163"/>
      <c r="N769" s="163"/>
      <c r="O769" s="163"/>
      <c r="P769" s="205"/>
      <c r="Q769" s="236">
        <f t="shared" si="322"/>
        <v>0</v>
      </c>
      <c r="R769" s="236">
        <f t="shared" si="323"/>
        <v>0</v>
      </c>
      <c r="S769" s="236"/>
      <c r="T769" s="236"/>
      <c r="U769" s="236">
        <f t="shared" si="324"/>
        <v>0</v>
      </c>
      <c r="V769" s="236"/>
      <c r="W769" s="232">
        <f t="shared" si="325"/>
        <v>0</v>
      </c>
      <c r="X769" s="236"/>
      <c r="Y769" s="236"/>
      <c r="Z769" s="236"/>
    </row>
    <row r="770" spans="1:26" hidden="1" outlineLevel="2">
      <c r="A770" s="19"/>
      <c r="B770" s="323"/>
      <c r="C770" s="207"/>
      <c r="D770" s="208"/>
      <c r="E770" s="133"/>
      <c r="F770" s="261"/>
      <c r="G770" s="138"/>
      <c r="H770" s="135"/>
      <c r="I770" s="206"/>
      <c r="J770" s="206"/>
      <c r="K770" s="206"/>
      <c r="L770" s="137"/>
      <c r="M770" s="163"/>
      <c r="N770" s="163"/>
      <c r="O770" s="163"/>
      <c r="P770" s="205"/>
      <c r="Q770" s="236">
        <f t="shared" si="322"/>
        <v>0</v>
      </c>
      <c r="R770" s="236">
        <f t="shared" si="323"/>
        <v>0</v>
      </c>
      <c r="S770" s="236"/>
      <c r="T770" s="236"/>
      <c r="U770" s="236">
        <f t="shared" si="324"/>
        <v>0</v>
      </c>
      <c r="V770" s="236"/>
      <c r="W770" s="232">
        <f t="shared" si="325"/>
        <v>0</v>
      </c>
      <c r="X770" s="236"/>
      <c r="Y770" s="236"/>
      <c r="Z770" s="236"/>
    </row>
    <row r="771" spans="1:26" hidden="1" outlineLevel="2">
      <c r="A771" s="19"/>
      <c r="B771" s="323"/>
      <c r="C771" s="207"/>
      <c r="D771" s="208"/>
      <c r="E771" s="133"/>
      <c r="F771" s="261"/>
      <c r="G771" s="138"/>
      <c r="H771" s="135"/>
      <c r="I771" s="206"/>
      <c r="J771" s="206"/>
      <c r="K771" s="206"/>
      <c r="L771" s="137"/>
      <c r="M771" s="163"/>
      <c r="N771" s="163"/>
      <c r="O771" s="163"/>
      <c r="P771" s="205"/>
      <c r="Q771" s="236">
        <f t="shared" si="322"/>
        <v>0</v>
      </c>
      <c r="R771" s="236">
        <f t="shared" si="323"/>
        <v>0</v>
      </c>
      <c r="S771" s="236"/>
      <c r="T771" s="236"/>
      <c r="U771" s="236">
        <f t="shared" si="324"/>
        <v>0</v>
      </c>
      <c r="V771" s="236"/>
      <c r="W771" s="232">
        <f t="shared" si="325"/>
        <v>0</v>
      </c>
      <c r="X771" s="236"/>
      <c r="Y771" s="236"/>
      <c r="Z771" s="236"/>
    </row>
    <row r="772" spans="1:26" hidden="1" outlineLevel="2">
      <c r="A772" s="160"/>
      <c r="B772" s="323"/>
      <c r="C772" s="207"/>
      <c r="D772" s="208"/>
      <c r="E772" s="133"/>
      <c r="F772" s="261"/>
      <c r="G772" s="138"/>
      <c r="H772" s="139"/>
      <c r="I772" s="206"/>
      <c r="J772" s="206"/>
      <c r="K772" s="206"/>
      <c r="L772" s="137"/>
      <c r="M772" s="74"/>
      <c r="N772" s="74"/>
      <c r="O772" s="234"/>
      <c r="P772" s="205"/>
      <c r="Q772" s="236">
        <f t="shared" si="322"/>
        <v>0</v>
      </c>
      <c r="R772" s="236">
        <f t="shared" si="323"/>
        <v>0</v>
      </c>
      <c r="S772" s="235"/>
      <c r="T772" s="235"/>
      <c r="U772" s="236">
        <f t="shared" si="324"/>
        <v>0</v>
      </c>
      <c r="V772" s="235"/>
      <c r="W772" s="232">
        <f t="shared" si="325"/>
        <v>0</v>
      </c>
      <c r="X772" s="235"/>
      <c r="Y772" s="235"/>
      <c r="Z772" s="235"/>
    </row>
    <row r="773" spans="1:26" hidden="1" outlineLevel="2">
      <c r="A773" s="160"/>
      <c r="B773" s="323"/>
      <c r="C773" s="207"/>
      <c r="D773" s="208"/>
      <c r="E773" s="133"/>
      <c r="F773" s="261"/>
      <c r="G773" s="138"/>
      <c r="H773" s="139"/>
      <c r="I773" s="206"/>
      <c r="J773" s="206"/>
      <c r="K773" s="206"/>
      <c r="L773" s="137"/>
      <c r="M773" s="74"/>
      <c r="N773" s="19"/>
      <c r="O773" s="234"/>
      <c r="P773" s="205"/>
      <c r="Q773" s="236">
        <f t="shared" si="322"/>
        <v>0</v>
      </c>
      <c r="R773" s="236">
        <f t="shared" si="323"/>
        <v>0</v>
      </c>
      <c r="S773" s="235"/>
      <c r="T773" s="235"/>
      <c r="U773" s="236">
        <f t="shared" si="324"/>
        <v>0</v>
      </c>
      <c r="V773" s="235"/>
      <c r="W773" s="232">
        <f t="shared" si="325"/>
        <v>0</v>
      </c>
      <c r="X773" s="235"/>
      <c r="Y773" s="235"/>
      <c r="Z773" s="235"/>
    </row>
    <row r="774" spans="1:26" hidden="1" outlineLevel="2">
      <c r="A774" s="160"/>
      <c r="B774" s="323"/>
      <c r="C774" s="207"/>
      <c r="D774" s="208"/>
      <c r="E774" s="133"/>
      <c r="F774" s="261"/>
      <c r="G774" s="138"/>
      <c r="H774" s="139"/>
      <c r="I774" s="206"/>
      <c r="J774" s="206"/>
      <c r="K774" s="206"/>
      <c r="L774" s="137"/>
      <c r="M774" s="74"/>
      <c r="N774" s="19"/>
      <c r="O774" s="234"/>
      <c r="P774" s="205"/>
      <c r="Q774" s="236">
        <f t="shared" si="322"/>
        <v>0</v>
      </c>
      <c r="R774" s="236">
        <f>SUM(S774:T774)</f>
        <v>0</v>
      </c>
      <c r="S774" s="235"/>
      <c r="T774" s="235"/>
      <c r="U774" s="236">
        <f t="shared" si="324"/>
        <v>0</v>
      </c>
      <c r="V774" s="235"/>
      <c r="W774" s="232">
        <f t="shared" si="325"/>
        <v>0</v>
      </c>
      <c r="X774" s="235"/>
      <c r="Y774" s="235"/>
      <c r="Z774" s="235"/>
    </row>
    <row r="775" spans="1:26" hidden="1" outlineLevel="2">
      <c r="A775" s="160"/>
      <c r="B775" s="74"/>
      <c r="C775" s="207"/>
      <c r="D775" s="208"/>
      <c r="E775" s="133"/>
      <c r="F775" s="261"/>
      <c r="G775" s="138"/>
      <c r="H775" s="139"/>
      <c r="I775" s="206"/>
      <c r="J775" s="206"/>
      <c r="K775" s="206"/>
      <c r="L775" s="137"/>
      <c r="M775" s="74"/>
      <c r="N775" s="19"/>
      <c r="O775" s="234"/>
      <c r="P775" s="205"/>
      <c r="Q775" s="235"/>
      <c r="R775" s="235"/>
      <c r="S775" s="235"/>
      <c r="T775" s="235"/>
      <c r="U775" s="235"/>
      <c r="V775" s="235"/>
      <c r="W775" s="235"/>
      <c r="X775" s="235"/>
      <c r="Y775" s="235"/>
      <c r="Z775" s="235"/>
    </row>
    <row r="776" spans="1:26" s="75" customFormat="1" outlineLevel="1" collapsed="1">
      <c r="A776" s="237"/>
      <c r="B776" s="238"/>
      <c r="C776" s="239"/>
      <c r="D776" s="240"/>
      <c r="E776" s="241"/>
      <c r="F776" s="264"/>
      <c r="G776" s="242"/>
      <c r="H776" s="243"/>
      <c r="I776" s="244"/>
      <c r="J776" s="244"/>
      <c r="K776" s="244"/>
      <c r="L776" s="150" t="str">
        <f>CONCATENATE(L777," ",N777,M777," ",L778," ",N778,M778," ",L779," ",N779,M779," ",L780," ",N780,M780," ",L781," ",N781,M781," ",L782," ",N782,M782," ",L783," ",N783,M783," ",L784," ",N784,M784," ",L785," ",N785,M785," ",L786," ",N786,M786," "," ",L787," ",N787,M787," ",L788," ",N788,M788," ",L789," ",N789,M789," ",L790," ",N790,M790," ",L791," ",N791,M791," ",L792," ",N792,M792)</f>
        <v xml:space="preserve">                                </v>
      </c>
      <c r="M776" s="243"/>
      <c r="N776" s="243"/>
      <c r="O776" s="287">
        <f>SUM(O785:O792)</f>
        <v>0</v>
      </c>
      <c r="P776" s="245"/>
      <c r="Q776" s="246">
        <f>SUM(Q785:Q792)</f>
        <v>0</v>
      </c>
      <c r="R776" s="246">
        <f t="shared" ref="R776:Y776" si="326">SUM(R785:R792)</f>
        <v>0</v>
      </c>
      <c r="S776" s="246">
        <f t="shared" si="326"/>
        <v>0</v>
      </c>
      <c r="T776" s="246">
        <f t="shared" si="326"/>
        <v>0</v>
      </c>
      <c r="U776" s="246">
        <f t="shared" si="326"/>
        <v>0</v>
      </c>
      <c r="V776" s="246">
        <f t="shared" si="326"/>
        <v>0</v>
      </c>
      <c r="W776" s="246">
        <f t="shared" si="326"/>
        <v>0</v>
      </c>
      <c r="X776" s="246">
        <f t="shared" si="326"/>
        <v>0</v>
      </c>
      <c r="Y776" s="246">
        <f t="shared" si="326"/>
        <v>0</v>
      </c>
      <c r="Z776" s="246">
        <f>SUM(Z785:Z792)</f>
        <v>0</v>
      </c>
    </row>
    <row r="777" spans="1:26" hidden="1" outlineLevel="2">
      <c r="A777" s="19"/>
      <c r="B777" s="323"/>
      <c r="C777" s="207"/>
      <c r="D777" s="208"/>
      <c r="E777" s="133"/>
      <c r="F777" s="261"/>
      <c r="G777" s="138"/>
      <c r="H777" s="135"/>
      <c r="I777" s="206"/>
      <c r="J777" s="206"/>
      <c r="K777" s="206"/>
      <c r="L777" s="137"/>
      <c r="M777" s="163"/>
      <c r="N777" s="163"/>
      <c r="O777" s="163"/>
      <c r="P777" s="205"/>
      <c r="Q777" s="236">
        <f>SUM(R777,U777)</f>
        <v>0</v>
      </c>
      <c r="R777" s="236">
        <f>SUM(S777:T777)</f>
        <v>0</v>
      </c>
      <c r="S777" s="236"/>
      <c r="T777" s="236"/>
      <c r="U777" s="236">
        <f>SUM(V777:Y777)</f>
        <v>0</v>
      </c>
      <c r="V777" s="236"/>
      <c r="W777" s="232">
        <f>V777*0.304</f>
        <v>0</v>
      </c>
      <c r="X777" s="236"/>
      <c r="Y777" s="236"/>
      <c r="Z777" s="236"/>
    </row>
    <row r="778" spans="1:26" hidden="1" outlineLevel="2">
      <c r="A778" s="19"/>
      <c r="B778" s="323"/>
      <c r="C778" s="207"/>
      <c r="D778" s="208"/>
      <c r="E778" s="133"/>
      <c r="F778" s="261"/>
      <c r="G778" s="138"/>
      <c r="H778" s="135"/>
      <c r="I778" s="206"/>
      <c r="J778" s="206"/>
      <c r="K778" s="206"/>
      <c r="L778" s="137"/>
      <c r="M778" s="163"/>
      <c r="N778" s="163"/>
      <c r="O778" s="163"/>
      <c r="P778" s="205"/>
      <c r="Q778" s="236">
        <f t="shared" ref="Q778:Q784" si="327">SUM(R778,U778)</f>
        <v>0</v>
      </c>
      <c r="R778" s="236">
        <f t="shared" ref="R778:R783" si="328">SUM(S778:T778)</f>
        <v>0</v>
      </c>
      <c r="S778" s="236"/>
      <c r="T778" s="236"/>
      <c r="U778" s="236">
        <f t="shared" ref="U778:U784" si="329">SUM(V778:Y778)</f>
        <v>0</v>
      </c>
      <c r="V778" s="236"/>
      <c r="W778" s="232">
        <f t="shared" ref="W778:W784" si="330">V778*0.304</f>
        <v>0</v>
      </c>
      <c r="X778" s="236"/>
      <c r="Y778" s="236"/>
      <c r="Z778" s="236"/>
    </row>
    <row r="779" spans="1:26" hidden="1" outlineLevel="2">
      <c r="A779" s="19"/>
      <c r="B779" s="323"/>
      <c r="C779" s="207"/>
      <c r="D779" s="208"/>
      <c r="E779" s="133"/>
      <c r="F779" s="261"/>
      <c r="G779" s="138"/>
      <c r="H779" s="135"/>
      <c r="I779" s="206"/>
      <c r="J779" s="206"/>
      <c r="K779" s="206"/>
      <c r="L779" s="137"/>
      <c r="M779" s="163"/>
      <c r="N779" s="163"/>
      <c r="O779" s="163"/>
      <c r="P779" s="205"/>
      <c r="Q779" s="236">
        <f t="shared" si="327"/>
        <v>0</v>
      </c>
      <c r="R779" s="236">
        <f t="shared" si="328"/>
        <v>0</v>
      </c>
      <c r="S779" s="236"/>
      <c r="T779" s="236"/>
      <c r="U779" s="236">
        <f t="shared" si="329"/>
        <v>0</v>
      </c>
      <c r="V779" s="236"/>
      <c r="W779" s="232">
        <f t="shared" si="330"/>
        <v>0</v>
      </c>
      <c r="X779" s="236"/>
      <c r="Y779" s="236"/>
      <c r="Z779" s="236"/>
    </row>
    <row r="780" spans="1:26" hidden="1" outlineLevel="2">
      <c r="A780" s="19"/>
      <c r="B780" s="323"/>
      <c r="C780" s="207"/>
      <c r="D780" s="208"/>
      <c r="E780" s="133"/>
      <c r="F780" s="261"/>
      <c r="G780" s="138"/>
      <c r="H780" s="135"/>
      <c r="I780" s="206"/>
      <c r="J780" s="206"/>
      <c r="K780" s="206"/>
      <c r="L780" s="137"/>
      <c r="M780" s="163"/>
      <c r="N780" s="163"/>
      <c r="O780" s="163"/>
      <c r="P780" s="205"/>
      <c r="Q780" s="236">
        <f t="shared" si="327"/>
        <v>0</v>
      </c>
      <c r="R780" s="236">
        <f t="shared" si="328"/>
        <v>0</v>
      </c>
      <c r="S780" s="236"/>
      <c r="T780" s="236"/>
      <c r="U780" s="236">
        <f t="shared" si="329"/>
        <v>0</v>
      </c>
      <c r="V780" s="236"/>
      <c r="W780" s="232">
        <f t="shared" si="330"/>
        <v>0</v>
      </c>
      <c r="X780" s="236"/>
      <c r="Y780" s="236"/>
      <c r="Z780" s="236"/>
    </row>
    <row r="781" spans="1:26" hidden="1" outlineLevel="2">
      <c r="A781" s="19"/>
      <c r="B781" s="323"/>
      <c r="C781" s="207"/>
      <c r="D781" s="208"/>
      <c r="E781" s="133"/>
      <c r="F781" s="261"/>
      <c r="G781" s="138"/>
      <c r="H781" s="135"/>
      <c r="I781" s="206"/>
      <c r="J781" s="206"/>
      <c r="K781" s="206"/>
      <c r="L781" s="137"/>
      <c r="M781" s="163"/>
      <c r="N781" s="163"/>
      <c r="O781" s="163"/>
      <c r="P781" s="205"/>
      <c r="Q781" s="236">
        <f t="shared" si="327"/>
        <v>0</v>
      </c>
      <c r="R781" s="236">
        <f t="shared" si="328"/>
        <v>0</v>
      </c>
      <c r="S781" s="236"/>
      <c r="T781" s="236"/>
      <c r="U781" s="236">
        <f t="shared" si="329"/>
        <v>0</v>
      </c>
      <c r="V781" s="236"/>
      <c r="W781" s="232">
        <f t="shared" si="330"/>
        <v>0</v>
      </c>
      <c r="X781" s="236"/>
      <c r="Y781" s="236"/>
      <c r="Z781" s="236"/>
    </row>
    <row r="782" spans="1:26" hidden="1" outlineLevel="2">
      <c r="A782" s="160"/>
      <c r="B782" s="323"/>
      <c r="C782" s="207"/>
      <c r="D782" s="208"/>
      <c r="E782" s="133"/>
      <c r="F782" s="261"/>
      <c r="G782" s="138"/>
      <c r="H782" s="139"/>
      <c r="I782" s="206"/>
      <c r="J782" s="206"/>
      <c r="K782" s="206"/>
      <c r="L782" s="137"/>
      <c r="M782" s="74"/>
      <c r="N782" s="74"/>
      <c r="O782" s="234"/>
      <c r="P782" s="205"/>
      <c r="Q782" s="236">
        <f t="shared" si="327"/>
        <v>0</v>
      </c>
      <c r="R782" s="236">
        <f t="shared" si="328"/>
        <v>0</v>
      </c>
      <c r="S782" s="235"/>
      <c r="T782" s="235"/>
      <c r="U782" s="236">
        <f t="shared" si="329"/>
        <v>0</v>
      </c>
      <c r="V782" s="235"/>
      <c r="W782" s="232">
        <f t="shared" si="330"/>
        <v>0</v>
      </c>
      <c r="X782" s="235"/>
      <c r="Y782" s="235"/>
      <c r="Z782" s="235"/>
    </row>
    <row r="783" spans="1:26" hidden="1" outlineLevel="2">
      <c r="A783" s="160"/>
      <c r="B783" s="323"/>
      <c r="C783" s="207"/>
      <c r="D783" s="208"/>
      <c r="E783" s="133"/>
      <c r="F783" s="261"/>
      <c r="G783" s="138"/>
      <c r="H783" s="139"/>
      <c r="I783" s="206"/>
      <c r="J783" s="206"/>
      <c r="K783" s="206"/>
      <c r="L783" s="137"/>
      <c r="M783" s="74"/>
      <c r="N783" s="19"/>
      <c r="O783" s="234"/>
      <c r="P783" s="205"/>
      <c r="Q783" s="236">
        <f t="shared" si="327"/>
        <v>0</v>
      </c>
      <c r="R783" s="236">
        <f t="shared" si="328"/>
        <v>0</v>
      </c>
      <c r="S783" s="235"/>
      <c r="T783" s="235"/>
      <c r="U783" s="236">
        <f t="shared" si="329"/>
        <v>0</v>
      </c>
      <c r="V783" s="235"/>
      <c r="W783" s="232">
        <f t="shared" si="330"/>
        <v>0</v>
      </c>
      <c r="X783" s="235"/>
      <c r="Y783" s="235"/>
      <c r="Z783" s="235"/>
    </row>
    <row r="784" spans="1:26" hidden="1" outlineLevel="2">
      <c r="A784" s="160"/>
      <c r="B784" s="323"/>
      <c r="C784" s="207"/>
      <c r="D784" s="208"/>
      <c r="E784" s="133"/>
      <c r="F784" s="261"/>
      <c r="G784" s="138"/>
      <c r="H784" s="139"/>
      <c r="I784" s="206"/>
      <c r="J784" s="206"/>
      <c r="K784" s="206"/>
      <c r="L784" s="137"/>
      <c r="M784" s="74"/>
      <c r="N784" s="19"/>
      <c r="O784" s="234"/>
      <c r="P784" s="205"/>
      <c r="Q784" s="236">
        <f t="shared" si="327"/>
        <v>0</v>
      </c>
      <c r="R784" s="236">
        <f>SUM(S784:T784)</f>
        <v>0</v>
      </c>
      <c r="S784" s="235"/>
      <c r="T784" s="235"/>
      <c r="U784" s="236">
        <f t="shared" si="329"/>
        <v>0</v>
      </c>
      <c r="V784" s="235"/>
      <c r="W784" s="232">
        <f t="shared" si="330"/>
        <v>0</v>
      </c>
      <c r="X784" s="235"/>
      <c r="Y784" s="235"/>
      <c r="Z784" s="235"/>
    </row>
    <row r="785" spans="1:26" hidden="1" outlineLevel="2">
      <c r="A785" s="19"/>
      <c r="B785" s="323"/>
      <c r="C785" s="207"/>
      <c r="D785" s="208"/>
      <c r="E785" s="133"/>
      <c r="F785" s="261"/>
      <c r="G785" s="138"/>
      <c r="H785" s="135"/>
      <c r="I785" s="206"/>
      <c r="J785" s="206"/>
      <c r="K785" s="206"/>
      <c r="L785" s="137"/>
      <c r="M785" s="163"/>
      <c r="N785" s="163"/>
      <c r="O785" s="163"/>
      <c r="P785" s="205"/>
      <c r="Q785" s="236">
        <f>SUM(R785,U785)</f>
        <v>0</v>
      </c>
      <c r="R785" s="236">
        <f>SUM(S785:T785)</f>
        <v>0</v>
      </c>
      <c r="S785" s="236"/>
      <c r="T785" s="236"/>
      <c r="U785" s="236">
        <f>SUM(V785:Y785)</f>
        <v>0</v>
      </c>
      <c r="V785" s="236"/>
      <c r="W785" s="232">
        <f>V785*0.304</f>
        <v>0</v>
      </c>
      <c r="X785" s="236"/>
      <c r="Y785" s="236"/>
      <c r="Z785" s="236"/>
    </row>
    <row r="786" spans="1:26" hidden="1" outlineLevel="2">
      <c r="A786" s="19"/>
      <c r="B786" s="323"/>
      <c r="C786" s="207"/>
      <c r="D786" s="208"/>
      <c r="E786" s="133"/>
      <c r="F786" s="261"/>
      <c r="G786" s="138"/>
      <c r="H786" s="135"/>
      <c r="I786" s="206"/>
      <c r="J786" s="206"/>
      <c r="K786" s="206"/>
      <c r="L786" s="137"/>
      <c r="M786" s="163"/>
      <c r="N786" s="163"/>
      <c r="O786" s="163"/>
      <c r="P786" s="205"/>
      <c r="Q786" s="236">
        <f t="shared" ref="Q786:Q792" si="331">SUM(R786,U786)</f>
        <v>0</v>
      </c>
      <c r="R786" s="236">
        <f t="shared" ref="R786:R791" si="332">SUM(S786:T786)</f>
        <v>0</v>
      </c>
      <c r="S786" s="236"/>
      <c r="T786" s="236"/>
      <c r="U786" s="236">
        <f t="shared" ref="U786:U792" si="333">SUM(V786:Y786)</f>
        <v>0</v>
      </c>
      <c r="V786" s="236"/>
      <c r="W786" s="232">
        <f t="shared" ref="W786:W792" si="334">V786*0.304</f>
        <v>0</v>
      </c>
      <c r="X786" s="236"/>
      <c r="Y786" s="236"/>
      <c r="Z786" s="236"/>
    </row>
    <row r="787" spans="1:26" hidden="1" outlineLevel="2">
      <c r="A787" s="19"/>
      <c r="B787" s="323"/>
      <c r="C787" s="207"/>
      <c r="D787" s="208"/>
      <c r="E787" s="133"/>
      <c r="F787" s="261"/>
      <c r="G787" s="138"/>
      <c r="H787" s="135"/>
      <c r="I787" s="206"/>
      <c r="J787" s="206"/>
      <c r="K787" s="206"/>
      <c r="L787" s="137"/>
      <c r="M787" s="163"/>
      <c r="N787" s="163"/>
      <c r="O787" s="163"/>
      <c r="P787" s="205"/>
      <c r="Q787" s="236">
        <f t="shared" si="331"/>
        <v>0</v>
      </c>
      <c r="R787" s="236">
        <f t="shared" si="332"/>
        <v>0</v>
      </c>
      <c r="S787" s="236"/>
      <c r="T787" s="236"/>
      <c r="U787" s="236">
        <f t="shared" si="333"/>
        <v>0</v>
      </c>
      <c r="V787" s="236"/>
      <c r="W787" s="232">
        <f t="shared" si="334"/>
        <v>0</v>
      </c>
      <c r="X787" s="236"/>
      <c r="Y787" s="236"/>
      <c r="Z787" s="236"/>
    </row>
    <row r="788" spans="1:26" hidden="1" outlineLevel="2">
      <c r="A788" s="19"/>
      <c r="B788" s="323"/>
      <c r="C788" s="207"/>
      <c r="D788" s="208"/>
      <c r="E788" s="133"/>
      <c r="F788" s="261"/>
      <c r="G788" s="138"/>
      <c r="H788" s="135"/>
      <c r="I788" s="206"/>
      <c r="J788" s="206"/>
      <c r="K788" s="206"/>
      <c r="L788" s="137"/>
      <c r="M788" s="163"/>
      <c r="N788" s="163"/>
      <c r="O788" s="163"/>
      <c r="P788" s="205"/>
      <c r="Q788" s="236">
        <f t="shared" si="331"/>
        <v>0</v>
      </c>
      <c r="R788" s="236">
        <f t="shared" si="332"/>
        <v>0</v>
      </c>
      <c r="S788" s="236"/>
      <c r="T788" s="236"/>
      <c r="U788" s="236">
        <f t="shared" si="333"/>
        <v>0</v>
      </c>
      <c r="V788" s="236"/>
      <c r="W788" s="232">
        <f t="shared" si="334"/>
        <v>0</v>
      </c>
      <c r="X788" s="236"/>
      <c r="Y788" s="236"/>
      <c r="Z788" s="236"/>
    </row>
    <row r="789" spans="1:26" hidden="1" outlineLevel="2">
      <c r="A789" s="19"/>
      <c r="B789" s="323"/>
      <c r="C789" s="207"/>
      <c r="D789" s="208"/>
      <c r="E789" s="133"/>
      <c r="F789" s="261"/>
      <c r="G789" s="138"/>
      <c r="H789" s="135"/>
      <c r="I789" s="206"/>
      <c r="J789" s="206"/>
      <c r="K789" s="206"/>
      <c r="L789" s="137"/>
      <c r="M789" s="163"/>
      <c r="N789" s="163"/>
      <c r="O789" s="163"/>
      <c r="P789" s="205"/>
      <c r="Q789" s="236">
        <f t="shared" si="331"/>
        <v>0</v>
      </c>
      <c r="R789" s="236">
        <f t="shared" si="332"/>
        <v>0</v>
      </c>
      <c r="S789" s="236"/>
      <c r="T789" s="236"/>
      <c r="U789" s="236">
        <f t="shared" si="333"/>
        <v>0</v>
      </c>
      <c r="V789" s="236"/>
      <c r="W789" s="232">
        <f t="shared" si="334"/>
        <v>0</v>
      </c>
      <c r="X789" s="236"/>
      <c r="Y789" s="236"/>
      <c r="Z789" s="236"/>
    </row>
    <row r="790" spans="1:26" hidden="1" outlineLevel="2">
      <c r="A790" s="160"/>
      <c r="B790" s="323"/>
      <c r="C790" s="207"/>
      <c r="D790" s="208"/>
      <c r="E790" s="133"/>
      <c r="F790" s="261"/>
      <c r="G790" s="138"/>
      <c r="H790" s="139"/>
      <c r="I790" s="206"/>
      <c r="J790" s="206"/>
      <c r="K790" s="206"/>
      <c r="L790" s="137"/>
      <c r="M790" s="74"/>
      <c r="N790" s="74"/>
      <c r="O790" s="234"/>
      <c r="P790" s="205"/>
      <c r="Q790" s="236">
        <f t="shared" si="331"/>
        <v>0</v>
      </c>
      <c r="R790" s="236">
        <f t="shared" si="332"/>
        <v>0</v>
      </c>
      <c r="S790" s="235"/>
      <c r="T790" s="235"/>
      <c r="U790" s="236">
        <f t="shared" si="333"/>
        <v>0</v>
      </c>
      <c r="V790" s="235"/>
      <c r="W790" s="232">
        <f t="shared" si="334"/>
        <v>0</v>
      </c>
      <c r="X790" s="235"/>
      <c r="Y790" s="235"/>
      <c r="Z790" s="235"/>
    </row>
    <row r="791" spans="1:26" hidden="1" outlineLevel="2">
      <c r="A791" s="160"/>
      <c r="B791" s="323"/>
      <c r="C791" s="207"/>
      <c r="D791" s="208"/>
      <c r="E791" s="133"/>
      <c r="F791" s="261"/>
      <c r="G791" s="138"/>
      <c r="H791" s="139"/>
      <c r="I791" s="206"/>
      <c r="J791" s="206"/>
      <c r="K791" s="206"/>
      <c r="L791" s="137"/>
      <c r="M791" s="74"/>
      <c r="N791" s="19"/>
      <c r="O791" s="234"/>
      <c r="P791" s="205"/>
      <c r="Q791" s="236">
        <f t="shared" si="331"/>
        <v>0</v>
      </c>
      <c r="R791" s="236">
        <f t="shared" si="332"/>
        <v>0</v>
      </c>
      <c r="S791" s="235"/>
      <c r="T791" s="235"/>
      <c r="U791" s="236">
        <f t="shared" si="333"/>
        <v>0</v>
      </c>
      <c r="V791" s="235"/>
      <c r="W791" s="232">
        <f t="shared" si="334"/>
        <v>0</v>
      </c>
      <c r="X791" s="235"/>
      <c r="Y791" s="235"/>
      <c r="Z791" s="235"/>
    </row>
    <row r="792" spans="1:26" hidden="1" outlineLevel="2">
      <c r="A792" s="160"/>
      <c r="B792" s="323"/>
      <c r="C792" s="207"/>
      <c r="D792" s="208"/>
      <c r="E792" s="133"/>
      <c r="F792" s="261"/>
      <c r="G792" s="138"/>
      <c r="H792" s="139"/>
      <c r="I792" s="206"/>
      <c r="J792" s="206"/>
      <c r="K792" s="206"/>
      <c r="L792" s="137"/>
      <c r="M792" s="74"/>
      <c r="N792" s="19"/>
      <c r="O792" s="234"/>
      <c r="P792" s="205"/>
      <c r="Q792" s="236">
        <f t="shared" si="331"/>
        <v>0</v>
      </c>
      <c r="R792" s="236">
        <f>SUM(S792:T792)</f>
        <v>0</v>
      </c>
      <c r="S792" s="235"/>
      <c r="T792" s="235"/>
      <c r="U792" s="236">
        <f t="shared" si="333"/>
        <v>0</v>
      </c>
      <c r="V792" s="235"/>
      <c r="W792" s="232">
        <f t="shared" si="334"/>
        <v>0</v>
      </c>
      <c r="X792" s="235"/>
      <c r="Y792" s="235"/>
      <c r="Z792" s="235"/>
    </row>
    <row r="793" spans="1:26" hidden="1" outlineLevel="2">
      <c r="A793" s="160"/>
      <c r="B793" s="74"/>
      <c r="C793" s="207"/>
      <c r="D793" s="208"/>
      <c r="E793" s="133"/>
      <c r="F793" s="261"/>
      <c r="G793" s="138"/>
      <c r="H793" s="139"/>
      <c r="I793" s="206"/>
      <c r="J793" s="206"/>
      <c r="K793" s="206"/>
      <c r="L793" s="137"/>
      <c r="M793" s="74"/>
      <c r="N793" s="19"/>
      <c r="O793" s="234"/>
      <c r="P793" s="205"/>
      <c r="Q793" s="235"/>
      <c r="R793" s="235"/>
      <c r="S793" s="235"/>
      <c r="T793" s="235"/>
      <c r="U793" s="235"/>
      <c r="V793" s="235"/>
      <c r="W793" s="235"/>
      <c r="X793" s="235"/>
      <c r="Y793" s="235"/>
      <c r="Z793" s="235"/>
    </row>
    <row r="794" spans="1:26" s="75" customFormat="1" outlineLevel="1" collapsed="1">
      <c r="A794" s="237"/>
      <c r="B794" s="238"/>
      <c r="C794" s="239"/>
      <c r="D794" s="240"/>
      <c r="E794" s="241"/>
      <c r="F794" s="264"/>
      <c r="G794" s="242"/>
      <c r="H794" s="243"/>
      <c r="I794" s="244"/>
      <c r="J794" s="244"/>
      <c r="K794" s="244"/>
      <c r="L794" s="150" t="str">
        <f>CONCATENATE(L795," ",N795,M795," ",L796," ",N796,M796," ",L797," ",N797,M797," ",L798," ",N798,M798," ",L799," ",N799,M799," ",L800," ",N800,M800," ",L801," ",N801,M801," ",L802," ",N802,M802," ",L803," ",N803,M803," ",L804," ",N804,M804," "," ",L805," ",N805,M805," ",L806," ",N806,M806," ",L807," ",N807,M807," ",L808," ",N808,M808," ",L809," ",N809,M809," ",L810," ",N810,M810)</f>
        <v xml:space="preserve">                                </v>
      </c>
      <c r="M794" s="243"/>
      <c r="N794" s="243"/>
      <c r="O794" s="287">
        <f>SUM(O803:O810)</f>
        <v>0</v>
      </c>
      <c r="P794" s="245"/>
      <c r="Q794" s="246">
        <f>SUM(Q803:Q810)</f>
        <v>0</v>
      </c>
      <c r="R794" s="246">
        <f t="shared" ref="R794:Y794" si="335">SUM(R803:R810)</f>
        <v>0</v>
      </c>
      <c r="S794" s="246">
        <f t="shared" si="335"/>
        <v>0</v>
      </c>
      <c r="T794" s="246">
        <f t="shared" si="335"/>
        <v>0</v>
      </c>
      <c r="U794" s="246">
        <f t="shared" si="335"/>
        <v>0</v>
      </c>
      <c r="V794" s="246">
        <f t="shared" si="335"/>
        <v>0</v>
      </c>
      <c r="W794" s="246">
        <f t="shared" si="335"/>
        <v>0</v>
      </c>
      <c r="X794" s="246">
        <f t="shared" si="335"/>
        <v>0</v>
      </c>
      <c r="Y794" s="246">
        <f t="shared" si="335"/>
        <v>0</v>
      </c>
      <c r="Z794" s="246">
        <f>SUM(Z803:Z810)</f>
        <v>0</v>
      </c>
    </row>
    <row r="795" spans="1:26" hidden="1" outlineLevel="2">
      <c r="A795" s="19"/>
      <c r="B795" s="323"/>
      <c r="C795" s="207"/>
      <c r="D795" s="208"/>
      <c r="E795" s="133"/>
      <c r="F795" s="261"/>
      <c r="G795" s="138"/>
      <c r="H795" s="135"/>
      <c r="I795" s="206"/>
      <c r="J795" s="206"/>
      <c r="K795" s="206"/>
      <c r="L795" s="137"/>
      <c r="M795" s="163"/>
      <c r="N795" s="163"/>
      <c r="O795" s="163"/>
      <c r="P795" s="205"/>
      <c r="Q795" s="236">
        <f>SUM(R795,U795)</f>
        <v>0</v>
      </c>
      <c r="R795" s="236">
        <f>SUM(S795:T795)</f>
        <v>0</v>
      </c>
      <c r="S795" s="236"/>
      <c r="T795" s="236"/>
      <c r="U795" s="236">
        <f>SUM(V795:Y795)</f>
        <v>0</v>
      </c>
      <c r="V795" s="236"/>
      <c r="W795" s="232">
        <f>V795*0.304</f>
        <v>0</v>
      </c>
      <c r="X795" s="236"/>
      <c r="Y795" s="236"/>
      <c r="Z795" s="236"/>
    </row>
    <row r="796" spans="1:26" hidden="1" outlineLevel="2">
      <c r="A796" s="19"/>
      <c r="B796" s="323"/>
      <c r="C796" s="207"/>
      <c r="D796" s="208"/>
      <c r="E796" s="133"/>
      <c r="F796" s="261"/>
      <c r="G796" s="138"/>
      <c r="H796" s="135"/>
      <c r="I796" s="206"/>
      <c r="J796" s="206"/>
      <c r="K796" s="206"/>
      <c r="L796" s="137"/>
      <c r="M796" s="163"/>
      <c r="N796" s="163"/>
      <c r="O796" s="163"/>
      <c r="P796" s="205"/>
      <c r="Q796" s="236">
        <f t="shared" ref="Q796:Q802" si="336">SUM(R796,U796)</f>
        <v>0</v>
      </c>
      <c r="R796" s="236">
        <f t="shared" ref="R796:R801" si="337">SUM(S796:T796)</f>
        <v>0</v>
      </c>
      <c r="S796" s="236"/>
      <c r="T796" s="236"/>
      <c r="U796" s="236">
        <f t="shared" ref="U796:U802" si="338">SUM(V796:Y796)</f>
        <v>0</v>
      </c>
      <c r="V796" s="236"/>
      <c r="W796" s="232">
        <f t="shared" ref="W796:W802" si="339">V796*0.304</f>
        <v>0</v>
      </c>
      <c r="X796" s="236"/>
      <c r="Y796" s="236"/>
      <c r="Z796" s="236"/>
    </row>
    <row r="797" spans="1:26" hidden="1" outlineLevel="2">
      <c r="A797" s="19"/>
      <c r="B797" s="323"/>
      <c r="C797" s="207"/>
      <c r="D797" s="208"/>
      <c r="E797" s="133"/>
      <c r="F797" s="261"/>
      <c r="G797" s="138"/>
      <c r="H797" s="135"/>
      <c r="I797" s="206"/>
      <c r="J797" s="206"/>
      <c r="K797" s="206"/>
      <c r="L797" s="137"/>
      <c r="M797" s="163"/>
      <c r="N797" s="163"/>
      <c r="O797" s="163"/>
      <c r="P797" s="205"/>
      <c r="Q797" s="236">
        <f t="shared" si="336"/>
        <v>0</v>
      </c>
      <c r="R797" s="236">
        <f t="shared" si="337"/>
        <v>0</v>
      </c>
      <c r="S797" s="236"/>
      <c r="T797" s="236"/>
      <c r="U797" s="236">
        <f t="shared" si="338"/>
        <v>0</v>
      </c>
      <c r="V797" s="236"/>
      <c r="W797" s="232">
        <f t="shared" si="339"/>
        <v>0</v>
      </c>
      <c r="X797" s="236"/>
      <c r="Y797" s="236"/>
      <c r="Z797" s="236"/>
    </row>
    <row r="798" spans="1:26" hidden="1" outlineLevel="2">
      <c r="A798" s="19"/>
      <c r="B798" s="323"/>
      <c r="C798" s="207"/>
      <c r="D798" s="208"/>
      <c r="E798" s="133"/>
      <c r="F798" s="261"/>
      <c r="G798" s="138"/>
      <c r="H798" s="135"/>
      <c r="I798" s="206"/>
      <c r="J798" s="206"/>
      <c r="K798" s="206"/>
      <c r="L798" s="137"/>
      <c r="M798" s="163"/>
      <c r="N798" s="163"/>
      <c r="O798" s="163"/>
      <c r="P798" s="205"/>
      <c r="Q798" s="236">
        <f t="shared" si="336"/>
        <v>0</v>
      </c>
      <c r="R798" s="236">
        <f t="shared" si="337"/>
        <v>0</v>
      </c>
      <c r="S798" s="236"/>
      <c r="T798" s="236"/>
      <c r="U798" s="236">
        <f t="shared" si="338"/>
        <v>0</v>
      </c>
      <c r="V798" s="236"/>
      <c r="W798" s="232">
        <f t="shared" si="339"/>
        <v>0</v>
      </c>
      <c r="X798" s="236"/>
      <c r="Y798" s="236"/>
      <c r="Z798" s="236"/>
    </row>
    <row r="799" spans="1:26" hidden="1" outlineLevel="2">
      <c r="A799" s="19"/>
      <c r="B799" s="323"/>
      <c r="C799" s="207"/>
      <c r="D799" s="208"/>
      <c r="E799" s="133"/>
      <c r="F799" s="261"/>
      <c r="G799" s="138"/>
      <c r="H799" s="135"/>
      <c r="I799" s="206"/>
      <c r="J799" s="206"/>
      <c r="K799" s="206"/>
      <c r="L799" s="137"/>
      <c r="M799" s="163"/>
      <c r="N799" s="163"/>
      <c r="O799" s="163"/>
      <c r="P799" s="205"/>
      <c r="Q799" s="236">
        <f t="shared" si="336"/>
        <v>0</v>
      </c>
      <c r="R799" s="236">
        <f t="shared" si="337"/>
        <v>0</v>
      </c>
      <c r="S799" s="236"/>
      <c r="T799" s="236"/>
      <c r="U799" s="236">
        <f t="shared" si="338"/>
        <v>0</v>
      </c>
      <c r="V799" s="236"/>
      <c r="W799" s="232">
        <f t="shared" si="339"/>
        <v>0</v>
      </c>
      <c r="X799" s="236"/>
      <c r="Y799" s="236"/>
      <c r="Z799" s="236"/>
    </row>
    <row r="800" spans="1:26" hidden="1" outlineLevel="2">
      <c r="A800" s="160"/>
      <c r="B800" s="323"/>
      <c r="C800" s="207"/>
      <c r="D800" s="208"/>
      <c r="E800" s="133"/>
      <c r="F800" s="261"/>
      <c r="G800" s="138"/>
      <c r="H800" s="139"/>
      <c r="I800" s="206"/>
      <c r="J800" s="206"/>
      <c r="K800" s="206"/>
      <c r="L800" s="137"/>
      <c r="M800" s="74"/>
      <c r="N800" s="74"/>
      <c r="O800" s="234"/>
      <c r="P800" s="205"/>
      <c r="Q800" s="236">
        <f t="shared" si="336"/>
        <v>0</v>
      </c>
      <c r="R800" s="236">
        <f t="shared" si="337"/>
        <v>0</v>
      </c>
      <c r="S800" s="235"/>
      <c r="T800" s="235"/>
      <c r="U800" s="236">
        <f t="shared" si="338"/>
        <v>0</v>
      </c>
      <c r="V800" s="235"/>
      <c r="W800" s="232">
        <f t="shared" si="339"/>
        <v>0</v>
      </c>
      <c r="X800" s="235"/>
      <c r="Y800" s="235"/>
      <c r="Z800" s="235"/>
    </row>
    <row r="801" spans="1:26" hidden="1" outlineLevel="2">
      <c r="A801" s="160"/>
      <c r="B801" s="323"/>
      <c r="C801" s="207"/>
      <c r="D801" s="208"/>
      <c r="E801" s="133"/>
      <c r="F801" s="261"/>
      <c r="G801" s="138"/>
      <c r="H801" s="139"/>
      <c r="I801" s="206"/>
      <c r="J801" s="206"/>
      <c r="K801" s="206"/>
      <c r="L801" s="137"/>
      <c r="M801" s="74"/>
      <c r="N801" s="19"/>
      <c r="O801" s="234"/>
      <c r="P801" s="205"/>
      <c r="Q801" s="236">
        <f t="shared" si="336"/>
        <v>0</v>
      </c>
      <c r="R801" s="236">
        <f t="shared" si="337"/>
        <v>0</v>
      </c>
      <c r="S801" s="235"/>
      <c r="T801" s="235"/>
      <c r="U801" s="236">
        <f t="shared" si="338"/>
        <v>0</v>
      </c>
      <c r="V801" s="235"/>
      <c r="W801" s="232">
        <f t="shared" si="339"/>
        <v>0</v>
      </c>
      <c r="X801" s="235"/>
      <c r="Y801" s="235"/>
      <c r="Z801" s="235"/>
    </row>
    <row r="802" spans="1:26" hidden="1" outlineLevel="2">
      <c r="A802" s="160"/>
      <c r="B802" s="323"/>
      <c r="C802" s="207"/>
      <c r="D802" s="208"/>
      <c r="E802" s="133"/>
      <c r="F802" s="261"/>
      <c r="G802" s="138"/>
      <c r="H802" s="139"/>
      <c r="I802" s="206"/>
      <c r="J802" s="206"/>
      <c r="K802" s="206"/>
      <c r="L802" s="137"/>
      <c r="M802" s="74"/>
      <c r="N802" s="19"/>
      <c r="O802" s="234"/>
      <c r="P802" s="205"/>
      <c r="Q802" s="236">
        <f t="shared" si="336"/>
        <v>0</v>
      </c>
      <c r="R802" s="236">
        <f>SUM(S802:T802)</f>
        <v>0</v>
      </c>
      <c r="S802" s="235"/>
      <c r="T802" s="235"/>
      <c r="U802" s="236">
        <f t="shared" si="338"/>
        <v>0</v>
      </c>
      <c r="V802" s="235"/>
      <c r="W802" s="232">
        <f t="shared" si="339"/>
        <v>0</v>
      </c>
      <c r="X802" s="235"/>
      <c r="Y802" s="235"/>
      <c r="Z802" s="235"/>
    </row>
    <row r="803" spans="1:26" hidden="1" outlineLevel="2">
      <c r="A803" s="19"/>
      <c r="B803" s="323"/>
      <c r="C803" s="207"/>
      <c r="D803" s="208"/>
      <c r="E803" s="133"/>
      <c r="F803" s="261"/>
      <c r="G803" s="138"/>
      <c r="H803" s="135"/>
      <c r="I803" s="206"/>
      <c r="J803" s="206"/>
      <c r="K803" s="206"/>
      <c r="L803" s="137"/>
      <c r="M803" s="163"/>
      <c r="N803" s="163"/>
      <c r="O803" s="163"/>
      <c r="P803" s="205"/>
      <c r="Q803" s="236">
        <f>SUM(R803,U803)</f>
        <v>0</v>
      </c>
      <c r="R803" s="236">
        <f>SUM(S803:T803)</f>
        <v>0</v>
      </c>
      <c r="S803" s="236"/>
      <c r="T803" s="236"/>
      <c r="U803" s="236">
        <f>SUM(V803:Y803)</f>
        <v>0</v>
      </c>
      <c r="V803" s="236"/>
      <c r="W803" s="232">
        <f>V803*0.304</f>
        <v>0</v>
      </c>
      <c r="X803" s="236"/>
      <c r="Y803" s="236"/>
      <c r="Z803" s="236"/>
    </row>
    <row r="804" spans="1:26" hidden="1" outlineLevel="2">
      <c r="A804" s="19"/>
      <c r="B804" s="323"/>
      <c r="C804" s="207"/>
      <c r="D804" s="208"/>
      <c r="E804" s="133"/>
      <c r="F804" s="261"/>
      <c r="G804" s="138"/>
      <c r="H804" s="135"/>
      <c r="I804" s="206"/>
      <c r="J804" s="206"/>
      <c r="K804" s="206"/>
      <c r="L804" s="137"/>
      <c r="M804" s="163"/>
      <c r="N804" s="163"/>
      <c r="O804" s="163"/>
      <c r="P804" s="205"/>
      <c r="Q804" s="236">
        <f t="shared" ref="Q804:Q810" si="340">SUM(R804,U804)</f>
        <v>0</v>
      </c>
      <c r="R804" s="236">
        <f t="shared" ref="R804:R809" si="341">SUM(S804:T804)</f>
        <v>0</v>
      </c>
      <c r="S804" s="236"/>
      <c r="T804" s="236"/>
      <c r="U804" s="236">
        <f t="shared" ref="U804:U810" si="342">SUM(V804:Y804)</f>
        <v>0</v>
      </c>
      <c r="V804" s="236"/>
      <c r="W804" s="232">
        <f t="shared" ref="W804:W810" si="343">V804*0.304</f>
        <v>0</v>
      </c>
      <c r="X804" s="236"/>
      <c r="Y804" s="236"/>
      <c r="Z804" s="236"/>
    </row>
    <row r="805" spans="1:26" hidden="1" outlineLevel="2">
      <c r="A805" s="19"/>
      <c r="B805" s="323"/>
      <c r="C805" s="207"/>
      <c r="D805" s="208"/>
      <c r="E805" s="133"/>
      <c r="F805" s="261"/>
      <c r="G805" s="138"/>
      <c r="H805" s="135"/>
      <c r="I805" s="206"/>
      <c r="J805" s="206"/>
      <c r="K805" s="206"/>
      <c r="L805" s="137"/>
      <c r="M805" s="163"/>
      <c r="N805" s="163"/>
      <c r="O805" s="163"/>
      <c r="P805" s="205"/>
      <c r="Q805" s="236">
        <f t="shared" si="340"/>
        <v>0</v>
      </c>
      <c r="R805" s="236">
        <f t="shared" si="341"/>
        <v>0</v>
      </c>
      <c r="S805" s="236"/>
      <c r="T805" s="236"/>
      <c r="U805" s="236">
        <f t="shared" si="342"/>
        <v>0</v>
      </c>
      <c r="V805" s="236"/>
      <c r="W805" s="232">
        <f t="shared" si="343"/>
        <v>0</v>
      </c>
      <c r="X805" s="236"/>
      <c r="Y805" s="236"/>
      <c r="Z805" s="236"/>
    </row>
    <row r="806" spans="1:26" hidden="1" outlineLevel="2">
      <c r="A806" s="19"/>
      <c r="B806" s="323"/>
      <c r="C806" s="207"/>
      <c r="D806" s="208"/>
      <c r="E806" s="133"/>
      <c r="F806" s="261"/>
      <c r="G806" s="138"/>
      <c r="H806" s="135"/>
      <c r="I806" s="206"/>
      <c r="J806" s="206"/>
      <c r="K806" s="206"/>
      <c r="L806" s="137"/>
      <c r="M806" s="163"/>
      <c r="N806" s="163"/>
      <c r="O806" s="163"/>
      <c r="P806" s="205"/>
      <c r="Q806" s="236">
        <f t="shared" si="340"/>
        <v>0</v>
      </c>
      <c r="R806" s="236">
        <f t="shared" si="341"/>
        <v>0</v>
      </c>
      <c r="S806" s="236"/>
      <c r="T806" s="236"/>
      <c r="U806" s="236">
        <f t="shared" si="342"/>
        <v>0</v>
      </c>
      <c r="V806" s="236"/>
      <c r="W806" s="232">
        <f t="shared" si="343"/>
        <v>0</v>
      </c>
      <c r="X806" s="236"/>
      <c r="Y806" s="236"/>
      <c r="Z806" s="236"/>
    </row>
    <row r="807" spans="1:26" hidden="1" outlineLevel="2">
      <c r="A807" s="19"/>
      <c r="B807" s="323"/>
      <c r="C807" s="207"/>
      <c r="D807" s="208"/>
      <c r="E807" s="133"/>
      <c r="F807" s="261"/>
      <c r="G807" s="138"/>
      <c r="H807" s="135"/>
      <c r="I807" s="206"/>
      <c r="J807" s="206"/>
      <c r="K807" s="206"/>
      <c r="L807" s="137"/>
      <c r="M807" s="163"/>
      <c r="N807" s="163"/>
      <c r="O807" s="163"/>
      <c r="P807" s="205"/>
      <c r="Q807" s="236">
        <f t="shared" si="340"/>
        <v>0</v>
      </c>
      <c r="R807" s="236">
        <f t="shared" si="341"/>
        <v>0</v>
      </c>
      <c r="S807" s="236"/>
      <c r="T807" s="236"/>
      <c r="U807" s="236">
        <f t="shared" si="342"/>
        <v>0</v>
      </c>
      <c r="V807" s="236"/>
      <c r="W807" s="232">
        <f t="shared" si="343"/>
        <v>0</v>
      </c>
      <c r="X807" s="236"/>
      <c r="Y807" s="236"/>
      <c r="Z807" s="236"/>
    </row>
    <row r="808" spans="1:26" hidden="1" outlineLevel="2">
      <c r="A808" s="160"/>
      <c r="B808" s="323"/>
      <c r="C808" s="207"/>
      <c r="D808" s="208"/>
      <c r="E808" s="133"/>
      <c r="F808" s="261"/>
      <c r="G808" s="138"/>
      <c r="H808" s="139"/>
      <c r="I808" s="206"/>
      <c r="J808" s="206"/>
      <c r="K808" s="206"/>
      <c r="L808" s="137"/>
      <c r="M808" s="74"/>
      <c r="N808" s="74"/>
      <c r="O808" s="234"/>
      <c r="P808" s="205"/>
      <c r="Q808" s="236">
        <f t="shared" si="340"/>
        <v>0</v>
      </c>
      <c r="R808" s="236">
        <f t="shared" si="341"/>
        <v>0</v>
      </c>
      <c r="S808" s="235"/>
      <c r="T808" s="235"/>
      <c r="U808" s="236">
        <f t="shared" si="342"/>
        <v>0</v>
      </c>
      <c r="V808" s="235"/>
      <c r="W808" s="232">
        <f t="shared" si="343"/>
        <v>0</v>
      </c>
      <c r="X808" s="235"/>
      <c r="Y808" s="235"/>
      <c r="Z808" s="235"/>
    </row>
    <row r="809" spans="1:26" hidden="1" outlineLevel="2">
      <c r="A809" s="160"/>
      <c r="B809" s="323"/>
      <c r="C809" s="207"/>
      <c r="D809" s="208"/>
      <c r="E809" s="133"/>
      <c r="F809" s="261"/>
      <c r="G809" s="138"/>
      <c r="H809" s="139"/>
      <c r="I809" s="206"/>
      <c r="J809" s="206"/>
      <c r="K809" s="206"/>
      <c r="L809" s="137"/>
      <c r="M809" s="74"/>
      <c r="N809" s="19"/>
      <c r="O809" s="234"/>
      <c r="P809" s="205"/>
      <c r="Q809" s="236">
        <f t="shared" si="340"/>
        <v>0</v>
      </c>
      <c r="R809" s="236">
        <f t="shared" si="341"/>
        <v>0</v>
      </c>
      <c r="S809" s="235"/>
      <c r="T809" s="235"/>
      <c r="U809" s="236">
        <f t="shared" si="342"/>
        <v>0</v>
      </c>
      <c r="V809" s="235"/>
      <c r="W809" s="232">
        <f t="shared" si="343"/>
        <v>0</v>
      </c>
      <c r="X809" s="235"/>
      <c r="Y809" s="235"/>
      <c r="Z809" s="235"/>
    </row>
    <row r="810" spans="1:26" hidden="1" outlineLevel="2">
      <c r="A810" s="160"/>
      <c r="B810" s="323"/>
      <c r="C810" s="207"/>
      <c r="D810" s="208"/>
      <c r="E810" s="133"/>
      <c r="F810" s="261"/>
      <c r="G810" s="138"/>
      <c r="H810" s="139"/>
      <c r="I810" s="206"/>
      <c r="J810" s="206"/>
      <c r="K810" s="206"/>
      <c r="L810" s="137"/>
      <c r="M810" s="74"/>
      <c r="N810" s="19"/>
      <c r="O810" s="234"/>
      <c r="P810" s="205"/>
      <c r="Q810" s="236">
        <f t="shared" si="340"/>
        <v>0</v>
      </c>
      <c r="R810" s="236">
        <f>SUM(S810:T810)</f>
        <v>0</v>
      </c>
      <c r="S810" s="235"/>
      <c r="T810" s="235"/>
      <c r="U810" s="236">
        <f t="shared" si="342"/>
        <v>0</v>
      </c>
      <c r="V810" s="235"/>
      <c r="W810" s="232">
        <f t="shared" si="343"/>
        <v>0</v>
      </c>
      <c r="X810" s="235"/>
      <c r="Y810" s="235"/>
      <c r="Z810" s="235"/>
    </row>
    <row r="811" spans="1:26" hidden="1" outlineLevel="2">
      <c r="A811" s="160"/>
      <c r="B811" s="74"/>
      <c r="C811" s="207"/>
      <c r="D811" s="208"/>
      <c r="E811" s="133"/>
      <c r="F811" s="261"/>
      <c r="G811" s="138"/>
      <c r="H811" s="139"/>
      <c r="I811" s="206"/>
      <c r="J811" s="206"/>
      <c r="K811" s="206"/>
      <c r="L811" s="137"/>
      <c r="M811" s="74"/>
      <c r="N811" s="19"/>
      <c r="O811" s="234"/>
      <c r="P811" s="205"/>
      <c r="Q811" s="235"/>
      <c r="R811" s="235"/>
      <c r="S811" s="235"/>
      <c r="T811" s="235"/>
      <c r="U811" s="235"/>
      <c r="V811" s="235"/>
      <c r="W811" s="235"/>
      <c r="X811" s="235"/>
      <c r="Y811" s="235"/>
      <c r="Z811" s="235"/>
    </row>
    <row r="812" spans="1:26" s="75" customFormat="1" outlineLevel="1" collapsed="1">
      <c r="A812" s="237"/>
      <c r="B812" s="238"/>
      <c r="C812" s="239"/>
      <c r="D812" s="240"/>
      <c r="E812" s="241"/>
      <c r="F812" s="264"/>
      <c r="G812" s="242"/>
      <c r="H812" s="243"/>
      <c r="I812" s="244"/>
      <c r="J812" s="244"/>
      <c r="K812" s="244"/>
      <c r="L812" s="150" t="str">
        <f>CONCATENATE(L813," ",N813,M813," ",L814," ",N814,M814," ",L815," ",N815,M815," ",L816," ",N816,M816," ",L817," ",N817,M817," ",L818," ",N818,M818," ",L819," ",N819,M819," ",L820," ",N820,M820," ",L821," ",N821,M821," ",L822," ",N822,M822," "," ",L823," ",N823,M823," ",L824," ",N824,M824," ",L825," ",N825,M825," ",L826," ",N826,M826," ",L827," ",N827,M827," ",L828," ",N828,M828)</f>
        <v xml:space="preserve">                                </v>
      </c>
      <c r="M812" s="243"/>
      <c r="N812" s="243"/>
      <c r="O812" s="287">
        <f>SUM(O821:O828)</f>
        <v>0</v>
      </c>
      <c r="P812" s="245"/>
      <c r="Q812" s="246">
        <f>SUM(Q821:Q828)</f>
        <v>0</v>
      </c>
      <c r="R812" s="246">
        <f t="shared" ref="R812:Y812" si="344">SUM(R821:R828)</f>
        <v>0</v>
      </c>
      <c r="S812" s="246">
        <f t="shared" si="344"/>
        <v>0</v>
      </c>
      <c r="T812" s="246">
        <f t="shared" si="344"/>
        <v>0</v>
      </c>
      <c r="U812" s="246">
        <f t="shared" si="344"/>
        <v>0</v>
      </c>
      <c r="V812" s="246">
        <f t="shared" si="344"/>
        <v>0</v>
      </c>
      <c r="W812" s="246">
        <f t="shared" si="344"/>
        <v>0</v>
      </c>
      <c r="X812" s="246">
        <f t="shared" si="344"/>
        <v>0</v>
      </c>
      <c r="Y812" s="246">
        <f t="shared" si="344"/>
        <v>0</v>
      </c>
      <c r="Z812" s="246">
        <f>SUM(Z821:Z828)</f>
        <v>0</v>
      </c>
    </row>
    <row r="813" spans="1:26" hidden="1" outlineLevel="2">
      <c r="A813" s="19"/>
      <c r="B813" s="323"/>
      <c r="C813" s="207"/>
      <c r="D813" s="208"/>
      <c r="E813" s="133"/>
      <c r="F813" s="261"/>
      <c r="G813" s="138"/>
      <c r="H813" s="135"/>
      <c r="I813" s="206"/>
      <c r="J813" s="206"/>
      <c r="K813" s="206"/>
      <c r="L813" s="137"/>
      <c r="M813" s="163"/>
      <c r="N813" s="163"/>
      <c r="O813" s="163"/>
      <c r="P813" s="205"/>
      <c r="Q813" s="236">
        <f>SUM(R813,U813)</f>
        <v>0</v>
      </c>
      <c r="R813" s="236">
        <f>SUM(S813:T813)</f>
        <v>0</v>
      </c>
      <c r="S813" s="236"/>
      <c r="T813" s="236"/>
      <c r="U813" s="236">
        <f>SUM(V813:Y813)</f>
        <v>0</v>
      </c>
      <c r="V813" s="236"/>
      <c r="W813" s="232">
        <f>V813*0.304</f>
        <v>0</v>
      </c>
      <c r="X813" s="236"/>
      <c r="Y813" s="236"/>
      <c r="Z813" s="236"/>
    </row>
    <row r="814" spans="1:26" hidden="1" outlineLevel="2">
      <c r="A814" s="19"/>
      <c r="B814" s="323"/>
      <c r="C814" s="207"/>
      <c r="D814" s="208"/>
      <c r="E814" s="133"/>
      <c r="F814" s="261"/>
      <c r="G814" s="138"/>
      <c r="H814" s="135"/>
      <c r="I814" s="206"/>
      <c r="J814" s="206"/>
      <c r="K814" s="206"/>
      <c r="L814" s="137"/>
      <c r="M814" s="163"/>
      <c r="N814" s="163"/>
      <c r="O814" s="163"/>
      <c r="P814" s="205"/>
      <c r="Q814" s="236">
        <f t="shared" ref="Q814:Q820" si="345">SUM(R814,U814)</f>
        <v>0</v>
      </c>
      <c r="R814" s="236">
        <f t="shared" ref="R814:R819" si="346">SUM(S814:T814)</f>
        <v>0</v>
      </c>
      <c r="S814" s="236"/>
      <c r="T814" s="236"/>
      <c r="U814" s="236">
        <f t="shared" ref="U814:U820" si="347">SUM(V814:Y814)</f>
        <v>0</v>
      </c>
      <c r="V814" s="236"/>
      <c r="W814" s="232">
        <f t="shared" ref="W814:W820" si="348">V814*0.304</f>
        <v>0</v>
      </c>
      <c r="X814" s="236"/>
      <c r="Y814" s="236"/>
      <c r="Z814" s="236"/>
    </row>
    <row r="815" spans="1:26" hidden="1" outlineLevel="2">
      <c r="A815" s="19"/>
      <c r="B815" s="323"/>
      <c r="C815" s="207"/>
      <c r="D815" s="208"/>
      <c r="E815" s="133"/>
      <c r="F815" s="261"/>
      <c r="G815" s="138"/>
      <c r="H815" s="135"/>
      <c r="I815" s="206"/>
      <c r="J815" s="206"/>
      <c r="K815" s="206"/>
      <c r="L815" s="137"/>
      <c r="M815" s="163"/>
      <c r="N815" s="163"/>
      <c r="O815" s="163"/>
      <c r="P815" s="205"/>
      <c r="Q815" s="236">
        <f t="shared" si="345"/>
        <v>0</v>
      </c>
      <c r="R815" s="236">
        <f t="shared" si="346"/>
        <v>0</v>
      </c>
      <c r="S815" s="236"/>
      <c r="T815" s="236"/>
      <c r="U815" s="236">
        <f t="shared" si="347"/>
        <v>0</v>
      </c>
      <c r="V815" s="236"/>
      <c r="W815" s="232">
        <f t="shared" si="348"/>
        <v>0</v>
      </c>
      <c r="X815" s="236"/>
      <c r="Y815" s="236"/>
      <c r="Z815" s="236"/>
    </row>
    <row r="816" spans="1:26" hidden="1" outlineLevel="2">
      <c r="A816" s="19"/>
      <c r="B816" s="323"/>
      <c r="C816" s="207"/>
      <c r="D816" s="208"/>
      <c r="E816" s="133"/>
      <c r="F816" s="261"/>
      <c r="G816" s="138"/>
      <c r="H816" s="135"/>
      <c r="I816" s="206"/>
      <c r="J816" s="206"/>
      <c r="K816" s="206"/>
      <c r="L816" s="137"/>
      <c r="M816" s="163"/>
      <c r="N816" s="163"/>
      <c r="O816" s="163"/>
      <c r="P816" s="205"/>
      <c r="Q816" s="236">
        <f t="shared" si="345"/>
        <v>0</v>
      </c>
      <c r="R816" s="236">
        <f t="shared" si="346"/>
        <v>0</v>
      </c>
      <c r="S816" s="236"/>
      <c r="T816" s="236"/>
      <c r="U816" s="236">
        <f t="shared" si="347"/>
        <v>0</v>
      </c>
      <c r="V816" s="236"/>
      <c r="W816" s="232">
        <f t="shared" si="348"/>
        <v>0</v>
      </c>
      <c r="X816" s="236"/>
      <c r="Y816" s="236"/>
      <c r="Z816" s="236"/>
    </row>
    <row r="817" spans="1:26" hidden="1" outlineLevel="2">
      <c r="A817" s="19"/>
      <c r="B817" s="323"/>
      <c r="C817" s="207"/>
      <c r="D817" s="208"/>
      <c r="E817" s="133"/>
      <c r="F817" s="261"/>
      <c r="G817" s="138"/>
      <c r="H817" s="135"/>
      <c r="I817" s="206"/>
      <c r="J817" s="206"/>
      <c r="K817" s="206"/>
      <c r="L817" s="137"/>
      <c r="M817" s="163"/>
      <c r="N817" s="163"/>
      <c r="O817" s="163"/>
      <c r="P817" s="205"/>
      <c r="Q817" s="236">
        <f t="shared" si="345"/>
        <v>0</v>
      </c>
      <c r="R817" s="236">
        <f t="shared" si="346"/>
        <v>0</v>
      </c>
      <c r="S817" s="236"/>
      <c r="T817" s="236"/>
      <c r="U817" s="236">
        <f t="shared" si="347"/>
        <v>0</v>
      </c>
      <c r="V817" s="236"/>
      <c r="W817" s="232">
        <f t="shared" si="348"/>
        <v>0</v>
      </c>
      <c r="X817" s="236"/>
      <c r="Y817" s="236"/>
      <c r="Z817" s="236"/>
    </row>
    <row r="818" spans="1:26" hidden="1" outlineLevel="2">
      <c r="A818" s="160"/>
      <c r="B818" s="323"/>
      <c r="C818" s="207"/>
      <c r="D818" s="208"/>
      <c r="E818" s="133"/>
      <c r="F818" s="261"/>
      <c r="G818" s="138"/>
      <c r="H818" s="139"/>
      <c r="I818" s="206"/>
      <c r="J818" s="206"/>
      <c r="K818" s="206"/>
      <c r="L818" s="137"/>
      <c r="M818" s="74"/>
      <c r="N818" s="74"/>
      <c r="O818" s="234"/>
      <c r="P818" s="205"/>
      <c r="Q818" s="236">
        <f t="shared" si="345"/>
        <v>0</v>
      </c>
      <c r="R818" s="236">
        <f t="shared" si="346"/>
        <v>0</v>
      </c>
      <c r="S818" s="235"/>
      <c r="T818" s="235"/>
      <c r="U818" s="236">
        <f t="shared" si="347"/>
        <v>0</v>
      </c>
      <c r="V818" s="235"/>
      <c r="W818" s="232">
        <f t="shared" si="348"/>
        <v>0</v>
      </c>
      <c r="X818" s="235"/>
      <c r="Y818" s="235"/>
      <c r="Z818" s="235"/>
    </row>
    <row r="819" spans="1:26" hidden="1" outlineLevel="2">
      <c r="A819" s="160"/>
      <c r="B819" s="323"/>
      <c r="C819" s="207"/>
      <c r="D819" s="208"/>
      <c r="E819" s="133"/>
      <c r="F819" s="261"/>
      <c r="G819" s="138"/>
      <c r="H819" s="139"/>
      <c r="I819" s="206"/>
      <c r="J819" s="206"/>
      <c r="K819" s="206"/>
      <c r="L819" s="137"/>
      <c r="M819" s="74"/>
      <c r="N819" s="19"/>
      <c r="O819" s="234"/>
      <c r="P819" s="205"/>
      <c r="Q819" s="236">
        <f t="shared" si="345"/>
        <v>0</v>
      </c>
      <c r="R819" s="236">
        <f t="shared" si="346"/>
        <v>0</v>
      </c>
      <c r="S819" s="235"/>
      <c r="T819" s="235"/>
      <c r="U819" s="236">
        <f t="shared" si="347"/>
        <v>0</v>
      </c>
      <c r="V819" s="235"/>
      <c r="W819" s="232">
        <f t="shared" si="348"/>
        <v>0</v>
      </c>
      <c r="X819" s="235"/>
      <c r="Y819" s="235"/>
      <c r="Z819" s="235"/>
    </row>
    <row r="820" spans="1:26" hidden="1" outlineLevel="2">
      <c r="A820" s="160"/>
      <c r="B820" s="323"/>
      <c r="C820" s="207"/>
      <c r="D820" s="208"/>
      <c r="E820" s="133"/>
      <c r="F820" s="261"/>
      <c r="G820" s="138"/>
      <c r="H820" s="139"/>
      <c r="I820" s="206"/>
      <c r="J820" s="206"/>
      <c r="K820" s="206"/>
      <c r="L820" s="137"/>
      <c r="M820" s="74"/>
      <c r="N820" s="19"/>
      <c r="O820" s="234"/>
      <c r="P820" s="205"/>
      <c r="Q820" s="236">
        <f t="shared" si="345"/>
        <v>0</v>
      </c>
      <c r="R820" s="236">
        <f>SUM(S820:T820)</f>
        <v>0</v>
      </c>
      <c r="S820" s="235"/>
      <c r="T820" s="235"/>
      <c r="U820" s="236">
        <f t="shared" si="347"/>
        <v>0</v>
      </c>
      <c r="V820" s="235"/>
      <c r="W820" s="232">
        <f t="shared" si="348"/>
        <v>0</v>
      </c>
      <c r="X820" s="235"/>
      <c r="Y820" s="235"/>
      <c r="Z820" s="235"/>
    </row>
    <row r="821" spans="1:26" hidden="1" outlineLevel="2">
      <c r="A821" s="19"/>
      <c r="B821" s="323"/>
      <c r="C821" s="207"/>
      <c r="D821" s="208"/>
      <c r="E821" s="133"/>
      <c r="F821" s="261"/>
      <c r="G821" s="138"/>
      <c r="H821" s="135"/>
      <c r="I821" s="206"/>
      <c r="J821" s="206"/>
      <c r="K821" s="206"/>
      <c r="L821" s="137"/>
      <c r="M821" s="163"/>
      <c r="N821" s="163"/>
      <c r="O821" s="163"/>
      <c r="P821" s="205"/>
      <c r="Q821" s="236">
        <f>SUM(R821,U821)</f>
        <v>0</v>
      </c>
      <c r="R821" s="236">
        <f>SUM(S821:T821)</f>
        <v>0</v>
      </c>
      <c r="S821" s="236"/>
      <c r="T821" s="236"/>
      <c r="U821" s="236">
        <f>SUM(V821:Y821)</f>
        <v>0</v>
      </c>
      <c r="V821" s="236"/>
      <c r="W821" s="232">
        <f>V821*0.304</f>
        <v>0</v>
      </c>
      <c r="X821" s="236"/>
      <c r="Y821" s="236"/>
      <c r="Z821" s="236"/>
    </row>
    <row r="822" spans="1:26" hidden="1" outlineLevel="2">
      <c r="A822" s="19"/>
      <c r="B822" s="323"/>
      <c r="C822" s="207"/>
      <c r="D822" s="208"/>
      <c r="E822" s="133"/>
      <c r="F822" s="261"/>
      <c r="G822" s="138"/>
      <c r="H822" s="135"/>
      <c r="I822" s="206"/>
      <c r="J822" s="206"/>
      <c r="K822" s="206"/>
      <c r="L822" s="137"/>
      <c r="M822" s="163"/>
      <c r="N822" s="163"/>
      <c r="O822" s="163"/>
      <c r="P822" s="205"/>
      <c r="Q822" s="236">
        <f t="shared" ref="Q822:Q828" si="349">SUM(R822,U822)</f>
        <v>0</v>
      </c>
      <c r="R822" s="236">
        <f t="shared" ref="R822:R827" si="350">SUM(S822:T822)</f>
        <v>0</v>
      </c>
      <c r="S822" s="236"/>
      <c r="T822" s="236"/>
      <c r="U822" s="236">
        <f t="shared" ref="U822:U828" si="351">SUM(V822:Y822)</f>
        <v>0</v>
      </c>
      <c r="V822" s="236"/>
      <c r="W822" s="232">
        <f t="shared" ref="W822:W828" si="352">V822*0.304</f>
        <v>0</v>
      </c>
      <c r="X822" s="236"/>
      <c r="Y822" s="236"/>
      <c r="Z822" s="236"/>
    </row>
    <row r="823" spans="1:26" hidden="1" outlineLevel="2">
      <c r="A823" s="19"/>
      <c r="B823" s="323"/>
      <c r="C823" s="207"/>
      <c r="D823" s="208"/>
      <c r="E823" s="133"/>
      <c r="F823" s="261"/>
      <c r="G823" s="138"/>
      <c r="H823" s="135"/>
      <c r="I823" s="206"/>
      <c r="J823" s="206"/>
      <c r="K823" s="206"/>
      <c r="L823" s="137"/>
      <c r="M823" s="163"/>
      <c r="N823" s="163"/>
      <c r="O823" s="163"/>
      <c r="P823" s="205"/>
      <c r="Q823" s="236">
        <f t="shared" si="349"/>
        <v>0</v>
      </c>
      <c r="R823" s="236">
        <f t="shared" si="350"/>
        <v>0</v>
      </c>
      <c r="S823" s="236"/>
      <c r="T823" s="236"/>
      <c r="U823" s="236">
        <f t="shared" si="351"/>
        <v>0</v>
      </c>
      <c r="V823" s="236"/>
      <c r="W823" s="232">
        <f t="shared" si="352"/>
        <v>0</v>
      </c>
      <c r="X823" s="236"/>
      <c r="Y823" s="236"/>
      <c r="Z823" s="236"/>
    </row>
    <row r="824" spans="1:26" hidden="1" outlineLevel="2">
      <c r="A824" s="19"/>
      <c r="B824" s="323"/>
      <c r="C824" s="207"/>
      <c r="D824" s="208"/>
      <c r="E824" s="133"/>
      <c r="F824" s="261"/>
      <c r="G824" s="138"/>
      <c r="H824" s="135"/>
      <c r="I824" s="206"/>
      <c r="J824" s="206"/>
      <c r="K824" s="206"/>
      <c r="L824" s="137"/>
      <c r="M824" s="163"/>
      <c r="N824" s="163"/>
      <c r="O824" s="163"/>
      <c r="P824" s="205"/>
      <c r="Q824" s="236">
        <f t="shared" si="349"/>
        <v>0</v>
      </c>
      <c r="R824" s="236">
        <f t="shared" si="350"/>
        <v>0</v>
      </c>
      <c r="S824" s="236"/>
      <c r="T824" s="236"/>
      <c r="U824" s="236">
        <f t="shared" si="351"/>
        <v>0</v>
      </c>
      <c r="V824" s="236"/>
      <c r="W824" s="232">
        <f t="shared" si="352"/>
        <v>0</v>
      </c>
      <c r="X824" s="236"/>
      <c r="Y824" s="236"/>
      <c r="Z824" s="236"/>
    </row>
    <row r="825" spans="1:26" hidden="1" outlineLevel="2">
      <c r="A825" s="19"/>
      <c r="B825" s="323"/>
      <c r="C825" s="207"/>
      <c r="D825" s="208"/>
      <c r="E825" s="133"/>
      <c r="F825" s="261"/>
      <c r="G825" s="138"/>
      <c r="H825" s="135"/>
      <c r="I825" s="206"/>
      <c r="J825" s="206"/>
      <c r="K825" s="206"/>
      <c r="L825" s="137"/>
      <c r="M825" s="163"/>
      <c r="N825" s="163"/>
      <c r="O825" s="163"/>
      <c r="P825" s="205"/>
      <c r="Q825" s="236">
        <f t="shared" si="349"/>
        <v>0</v>
      </c>
      <c r="R825" s="236">
        <f t="shared" si="350"/>
        <v>0</v>
      </c>
      <c r="S825" s="236"/>
      <c r="T825" s="236"/>
      <c r="U825" s="236">
        <f t="shared" si="351"/>
        <v>0</v>
      </c>
      <c r="V825" s="236"/>
      <c r="W825" s="232">
        <f t="shared" si="352"/>
        <v>0</v>
      </c>
      <c r="X825" s="236"/>
      <c r="Y825" s="236"/>
      <c r="Z825" s="236"/>
    </row>
    <row r="826" spans="1:26" hidden="1" outlineLevel="2">
      <c r="A826" s="160"/>
      <c r="B826" s="323"/>
      <c r="C826" s="207"/>
      <c r="D826" s="208"/>
      <c r="E826" s="133"/>
      <c r="F826" s="261"/>
      <c r="G826" s="138"/>
      <c r="H826" s="139"/>
      <c r="I826" s="206"/>
      <c r="J826" s="206"/>
      <c r="K826" s="206"/>
      <c r="L826" s="137"/>
      <c r="M826" s="74"/>
      <c r="N826" s="74"/>
      <c r="O826" s="234"/>
      <c r="P826" s="205"/>
      <c r="Q826" s="236">
        <f t="shared" si="349"/>
        <v>0</v>
      </c>
      <c r="R826" s="236">
        <f t="shared" si="350"/>
        <v>0</v>
      </c>
      <c r="S826" s="235"/>
      <c r="T826" s="235"/>
      <c r="U826" s="236">
        <f t="shared" si="351"/>
        <v>0</v>
      </c>
      <c r="V826" s="235"/>
      <c r="W826" s="232">
        <f t="shared" si="352"/>
        <v>0</v>
      </c>
      <c r="X826" s="235"/>
      <c r="Y826" s="235"/>
      <c r="Z826" s="235"/>
    </row>
    <row r="827" spans="1:26" hidden="1" outlineLevel="2">
      <c r="A827" s="160"/>
      <c r="B827" s="323"/>
      <c r="C827" s="207"/>
      <c r="D827" s="208"/>
      <c r="E827" s="133"/>
      <c r="F827" s="261"/>
      <c r="G827" s="138"/>
      <c r="H827" s="139"/>
      <c r="I827" s="206"/>
      <c r="J827" s="206"/>
      <c r="K827" s="206"/>
      <c r="L827" s="137"/>
      <c r="M827" s="74"/>
      <c r="N827" s="19"/>
      <c r="O827" s="234"/>
      <c r="P827" s="205"/>
      <c r="Q827" s="236">
        <f t="shared" si="349"/>
        <v>0</v>
      </c>
      <c r="R827" s="236">
        <f t="shared" si="350"/>
        <v>0</v>
      </c>
      <c r="S827" s="235"/>
      <c r="T827" s="235"/>
      <c r="U827" s="236">
        <f t="shared" si="351"/>
        <v>0</v>
      </c>
      <c r="V827" s="235"/>
      <c r="W827" s="232">
        <f t="shared" si="352"/>
        <v>0</v>
      </c>
      <c r="X827" s="235"/>
      <c r="Y827" s="235"/>
      <c r="Z827" s="235"/>
    </row>
    <row r="828" spans="1:26" hidden="1" outlineLevel="2">
      <c r="A828" s="160"/>
      <c r="B828" s="323"/>
      <c r="C828" s="207"/>
      <c r="D828" s="208"/>
      <c r="E828" s="133"/>
      <c r="F828" s="261"/>
      <c r="G828" s="138"/>
      <c r="H828" s="139"/>
      <c r="I828" s="206"/>
      <c r="J828" s="206"/>
      <c r="K828" s="206"/>
      <c r="L828" s="137"/>
      <c r="M828" s="74"/>
      <c r="N828" s="19"/>
      <c r="O828" s="234"/>
      <c r="P828" s="205"/>
      <c r="Q828" s="236">
        <f t="shared" si="349"/>
        <v>0</v>
      </c>
      <c r="R828" s="236">
        <f>SUM(S828:T828)</f>
        <v>0</v>
      </c>
      <c r="S828" s="235"/>
      <c r="T828" s="235"/>
      <c r="U828" s="236">
        <f t="shared" si="351"/>
        <v>0</v>
      </c>
      <c r="V828" s="235"/>
      <c r="W828" s="232">
        <f t="shared" si="352"/>
        <v>0</v>
      </c>
      <c r="X828" s="235"/>
      <c r="Y828" s="235"/>
      <c r="Z828" s="235"/>
    </row>
    <row r="829" spans="1:26" hidden="1" outlineLevel="2">
      <c r="A829" s="160"/>
      <c r="B829" s="74"/>
      <c r="C829" s="207"/>
      <c r="D829" s="208"/>
      <c r="E829" s="133"/>
      <c r="F829" s="261"/>
      <c r="G829" s="138"/>
      <c r="H829" s="139"/>
      <c r="I829" s="206"/>
      <c r="J829" s="206"/>
      <c r="K829" s="206"/>
      <c r="L829" s="137"/>
      <c r="M829" s="74"/>
      <c r="N829" s="19"/>
      <c r="O829" s="234"/>
      <c r="P829" s="205"/>
      <c r="Q829" s="235"/>
      <c r="R829" s="235"/>
      <c r="S829" s="235"/>
      <c r="T829" s="235"/>
      <c r="U829" s="235"/>
      <c r="V829" s="235"/>
      <c r="W829" s="235"/>
      <c r="X829" s="235"/>
      <c r="Y829" s="235"/>
      <c r="Z829" s="235"/>
    </row>
    <row r="830" spans="1:26" s="75" customFormat="1" outlineLevel="1" collapsed="1">
      <c r="A830" s="237"/>
      <c r="B830" s="238"/>
      <c r="C830" s="239"/>
      <c r="D830" s="240"/>
      <c r="E830" s="241"/>
      <c r="F830" s="264"/>
      <c r="G830" s="242"/>
      <c r="H830" s="243"/>
      <c r="I830" s="244"/>
      <c r="J830" s="244"/>
      <c r="K830" s="244"/>
      <c r="L830" s="150" t="str">
        <f>CONCATENATE(L831," ",N831,M831," ",L832," ",N832,M832," ",L833," ",N833,M833," ",L834," ",N834,M834," ",L835," ",N835,M835," ",L836," ",N836,M836," ",L837," ",N837,M837," ",L838," ",N838,M838," ",L839," ",N839,M839," ",L840," ",N840,M840," "," ",L841," ",N841,M841," ",L842," ",N842,M842," ",L843," ",N843,M843," ",L844," ",N844,M844," ",L845," ",N845,M845," ",L846," ",N846,M846)</f>
        <v xml:space="preserve">                                </v>
      </c>
      <c r="M830" s="243"/>
      <c r="N830" s="243"/>
      <c r="O830" s="287">
        <f>SUM(O839:O846)</f>
        <v>0</v>
      </c>
      <c r="P830" s="245"/>
      <c r="Q830" s="246">
        <f>SUM(Q839:Q846)</f>
        <v>0</v>
      </c>
      <c r="R830" s="246">
        <f t="shared" ref="R830:Y830" si="353">SUM(R839:R846)</f>
        <v>0</v>
      </c>
      <c r="S830" s="246">
        <f t="shared" si="353"/>
        <v>0</v>
      </c>
      <c r="T830" s="246">
        <f t="shared" si="353"/>
        <v>0</v>
      </c>
      <c r="U830" s="246">
        <f t="shared" si="353"/>
        <v>0</v>
      </c>
      <c r="V830" s="246">
        <f t="shared" si="353"/>
        <v>0</v>
      </c>
      <c r="W830" s="246">
        <f t="shared" si="353"/>
        <v>0</v>
      </c>
      <c r="X830" s="246">
        <f t="shared" si="353"/>
        <v>0</v>
      </c>
      <c r="Y830" s="246">
        <f t="shared" si="353"/>
        <v>0</v>
      </c>
      <c r="Z830" s="246">
        <f>SUM(Z839:Z846)</f>
        <v>0</v>
      </c>
    </row>
    <row r="831" spans="1:26" hidden="1" outlineLevel="2">
      <c r="A831" s="19"/>
      <c r="B831" s="323"/>
      <c r="C831" s="207"/>
      <c r="D831" s="208"/>
      <c r="E831" s="133"/>
      <c r="F831" s="261"/>
      <c r="G831" s="138"/>
      <c r="H831" s="135"/>
      <c r="I831" s="206"/>
      <c r="J831" s="206"/>
      <c r="K831" s="206"/>
      <c r="L831" s="137"/>
      <c r="M831" s="163"/>
      <c r="N831" s="163"/>
      <c r="O831" s="163"/>
      <c r="P831" s="205"/>
      <c r="Q831" s="236">
        <f>SUM(R831,U831)</f>
        <v>0</v>
      </c>
      <c r="R831" s="236">
        <f>SUM(S831:T831)</f>
        <v>0</v>
      </c>
      <c r="S831" s="236"/>
      <c r="T831" s="236"/>
      <c r="U831" s="236">
        <f>SUM(V831:Y831)</f>
        <v>0</v>
      </c>
      <c r="V831" s="236"/>
      <c r="W831" s="232">
        <f>V831*0.304</f>
        <v>0</v>
      </c>
      <c r="X831" s="236"/>
      <c r="Y831" s="236"/>
      <c r="Z831" s="236"/>
    </row>
    <row r="832" spans="1:26" hidden="1" outlineLevel="2">
      <c r="A832" s="19"/>
      <c r="B832" s="323"/>
      <c r="C832" s="207"/>
      <c r="D832" s="208"/>
      <c r="E832" s="133"/>
      <c r="F832" s="261"/>
      <c r="G832" s="138"/>
      <c r="H832" s="135"/>
      <c r="I832" s="206"/>
      <c r="J832" s="206"/>
      <c r="K832" s="206"/>
      <c r="L832" s="137"/>
      <c r="M832" s="163"/>
      <c r="N832" s="163"/>
      <c r="O832" s="163"/>
      <c r="P832" s="205"/>
      <c r="Q832" s="236">
        <f t="shared" ref="Q832:Q838" si="354">SUM(R832,U832)</f>
        <v>0</v>
      </c>
      <c r="R832" s="236">
        <f t="shared" ref="R832:R837" si="355">SUM(S832:T832)</f>
        <v>0</v>
      </c>
      <c r="S832" s="236"/>
      <c r="T832" s="236"/>
      <c r="U832" s="236">
        <f t="shared" ref="U832:U838" si="356">SUM(V832:Y832)</f>
        <v>0</v>
      </c>
      <c r="V832" s="236"/>
      <c r="W832" s="232">
        <f t="shared" ref="W832:W838" si="357">V832*0.304</f>
        <v>0</v>
      </c>
      <c r="X832" s="236"/>
      <c r="Y832" s="236"/>
      <c r="Z832" s="236"/>
    </row>
    <row r="833" spans="1:26" hidden="1" outlineLevel="2">
      <c r="A833" s="19"/>
      <c r="B833" s="323"/>
      <c r="C833" s="207"/>
      <c r="D833" s="208"/>
      <c r="E833" s="133"/>
      <c r="F833" s="261"/>
      <c r="G833" s="138"/>
      <c r="H833" s="135"/>
      <c r="I833" s="206"/>
      <c r="J833" s="206"/>
      <c r="K833" s="206"/>
      <c r="L833" s="137"/>
      <c r="M833" s="163"/>
      <c r="N833" s="163"/>
      <c r="O833" s="163"/>
      <c r="P833" s="205"/>
      <c r="Q833" s="236">
        <f t="shared" si="354"/>
        <v>0</v>
      </c>
      <c r="R833" s="236">
        <f t="shared" si="355"/>
        <v>0</v>
      </c>
      <c r="S833" s="236"/>
      <c r="T833" s="236"/>
      <c r="U833" s="236">
        <f t="shared" si="356"/>
        <v>0</v>
      </c>
      <c r="V833" s="236"/>
      <c r="W833" s="232">
        <f t="shared" si="357"/>
        <v>0</v>
      </c>
      <c r="X833" s="236"/>
      <c r="Y833" s="236"/>
      <c r="Z833" s="236"/>
    </row>
    <row r="834" spans="1:26" hidden="1" outlineLevel="2">
      <c r="A834" s="19"/>
      <c r="B834" s="323"/>
      <c r="C834" s="207"/>
      <c r="D834" s="208"/>
      <c r="E834" s="133"/>
      <c r="F834" s="261"/>
      <c r="G834" s="138"/>
      <c r="H834" s="135"/>
      <c r="I834" s="206"/>
      <c r="J834" s="206"/>
      <c r="K834" s="206"/>
      <c r="L834" s="137"/>
      <c r="M834" s="163"/>
      <c r="N834" s="163"/>
      <c r="O834" s="163"/>
      <c r="P834" s="205"/>
      <c r="Q834" s="236">
        <f t="shared" si="354"/>
        <v>0</v>
      </c>
      <c r="R834" s="236">
        <f t="shared" si="355"/>
        <v>0</v>
      </c>
      <c r="S834" s="236"/>
      <c r="T834" s="236"/>
      <c r="U834" s="236">
        <f t="shared" si="356"/>
        <v>0</v>
      </c>
      <c r="V834" s="236"/>
      <c r="W834" s="232">
        <f t="shared" si="357"/>
        <v>0</v>
      </c>
      <c r="X834" s="236"/>
      <c r="Y834" s="236"/>
      <c r="Z834" s="236"/>
    </row>
    <row r="835" spans="1:26" hidden="1" outlineLevel="2">
      <c r="A835" s="19"/>
      <c r="B835" s="323"/>
      <c r="C835" s="207"/>
      <c r="D835" s="208"/>
      <c r="E835" s="133"/>
      <c r="F835" s="261"/>
      <c r="G835" s="138"/>
      <c r="H835" s="135"/>
      <c r="I835" s="206"/>
      <c r="J835" s="206"/>
      <c r="K835" s="206"/>
      <c r="L835" s="137"/>
      <c r="M835" s="163"/>
      <c r="N835" s="163"/>
      <c r="O835" s="163"/>
      <c r="P835" s="205"/>
      <c r="Q835" s="236">
        <f t="shared" si="354"/>
        <v>0</v>
      </c>
      <c r="R835" s="236">
        <f t="shared" si="355"/>
        <v>0</v>
      </c>
      <c r="S835" s="236"/>
      <c r="T835" s="236"/>
      <c r="U835" s="236">
        <f t="shared" si="356"/>
        <v>0</v>
      </c>
      <c r="V835" s="236"/>
      <c r="W835" s="232">
        <f t="shared" si="357"/>
        <v>0</v>
      </c>
      <c r="X835" s="236"/>
      <c r="Y835" s="236"/>
      <c r="Z835" s="236"/>
    </row>
    <row r="836" spans="1:26" hidden="1" outlineLevel="2">
      <c r="A836" s="160"/>
      <c r="B836" s="323"/>
      <c r="C836" s="207"/>
      <c r="D836" s="208"/>
      <c r="E836" s="133"/>
      <c r="F836" s="261"/>
      <c r="G836" s="138"/>
      <c r="H836" s="139"/>
      <c r="I836" s="206"/>
      <c r="J836" s="206"/>
      <c r="K836" s="206"/>
      <c r="L836" s="137"/>
      <c r="M836" s="74"/>
      <c r="N836" s="74"/>
      <c r="O836" s="234"/>
      <c r="P836" s="205"/>
      <c r="Q836" s="236">
        <f t="shared" si="354"/>
        <v>0</v>
      </c>
      <c r="R836" s="236">
        <f t="shared" si="355"/>
        <v>0</v>
      </c>
      <c r="S836" s="235"/>
      <c r="T836" s="235"/>
      <c r="U836" s="236">
        <f t="shared" si="356"/>
        <v>0</v>
      </c>
      <c r="V836" s="235"/>
      <c r="W836" s="232">
        <f t="shared" si="357"/>
        <v>0</v>
      </c>
      <c r="X836" s="235"/>
      <c r="Y836" s="235"/>
      <c r="Z836" s="235"/>
    </row>
    <row r="837" spans="1:26" hidden="1" outlineLevel="2">
      <c r="A837" s="160"/>
      <c r="B837" s="323"/>
      <c r="C837" s="207"/>
      <c r="D837" s="208"/>
      <c r="E837" s="133"/>
      <c r="F837" s="261"/>
      <c r="G837" s="138"/>
      <c r="H837" s="139"/>
      <c r="I837" s="206"/>
      <c r="J837" s="206"/>
      <c r="K837" s="206"/>
      <c r="L837" s="137"/>
      <c r="M837" s="74"/>
      <c r="N837" s="19"/>
      <c r="O837" s="234"/>
      <c r="P837" s="205"/>
      <c r="Q837" s="236">
        <f t="shared" si="354"/>
        <v>0</v>
      </c>
      <c r="R837" s="236">
        <f t="shared" si="355"/>
        <v>0</v>
      </c>
      <c r="S837" s="235"/>
      <c r="T837" s="235"/>
      <c r="U837" s="236">
        <f t="shared" si="356"/>
        <v>0</v>
      </c>
      <c r="V837" s="235"/>
      <c r="W837" s="232">
        <f t="shared" si="357"/>
        <v>0</v>
      </c>
      <c r="X837" s="235"/>
      <c r="Y837" s="235"/>
      <c r="Z837" s="235"/>
    </row>
    <row r="838" spans="1:26" hidden="1" outlineLevel="2">
      <c r="A838" s="160"/>
      <c r="B838" s="323"/>
      <c r="C838" s="207"/>
      <c r="D838" s="208"/>
      <c r="E838" s="133"/>
      <c r="F838" s="261"/>
      <c r="G838" s="138"/>
      <c r="H838" s="139"/>
      <c r="I838" s="206"/>
      <c r="J838" s="206"/>
      <c r="K838" s="206"/>
      <c r="L838" s="137"/>
      <c r="M838" s="74"/>
      <c r="N838" s="19"/>
      <c r="O838" s="234"/>
      <c r="P838" s="205"/>
      <c r="Q838" s="236">
        <f t="shared" si="354"/>
        <v>0</v>
      </c>
      <c r="R838" s="236">
        <f>SUM(S838:T838)</f>
        <v>0</v>
      </c>
      <c r="S838" s="235"/>
      <c r="T838" s="235"/>
      <c r="U838" s="236">
        <f t="shared" si="356"/>
        <v>0</v>
      </c>
      <c r="V838" s="235"/>
      <c r="W838" s="232">
        <f t="shared" si="357"/>
        <v>0</v>
      </c>
      <c r="X838" s="235"/>
      <c r="Y838" s="235"/>
      <c r="Z838" s="235"/>
    </row>
    <row r="839" spans="1:26" hidden="1" outlineLevel="2">
      <c r="A839" s="19"/>
      <c r="B839" s="323"/>
      <c r="C839" s="207"/>
      <c r="D839" s="208"/>
      <c r="E839" s="133"/>
      <c r="F839" s="261"/>
      <c r="G839" s="138"/>
      <c r="H839" s="135"/>
      <c r="I839" s="206"/>
      <c r="J839" s="206"/>
      <c r="K839" s="206"/>
      <c r="L839" s="137"/>
      <c r="M839" s="163"/>
      <c r="N839" s="163"/>
      <c r="O839" s="163"/>
      <c r="P839" s="205"/>
      <c r="Q839" s="236">
        <f>SUM(R839,U839)</f>
        <v>0</v>
      </c>
      <c r="R839" s="236">
        <f>SUM(S839:T839)</f>
        <v>0</v>
      </c>
      <c r="S839" s="236"/>
      <c r="T839" s="236"/>
      <c r="U839" s="236">
        <f>SUM(V839:Y839)</f>
        <v>0</v>
      </c>
      <c r="V839" s="236"/>
      <c r="W839" s="232">
        <f>V839*0.304</f>
        <v>0</v>
      </c>
      <c r="X839" s="236"/>
      <c r="Y839" s="236"/>
      <c r="Z839" s="236"/>
    </row>
    <row r="840" spans="1:26" hidden="1" outlineLevel="2">
      <c r="A840" s="19"/>
      <c r="B840" s="323"/>
      <c r="C840" s="207"/>
      <c r="D840" s="208"/>
      <c r="E840" s="133"/>
      <c r="F840" s="261"/>
      <c r="G840" s="138"/>
      <c r="H840" s="135"/>
      <c r="I840" s="206"/>
      <c r="J840" s="206"/>
      <c r="K840" s="206"/>
      <c r="L840" s="137"/>
      <c r="M840" s="163"/>
      <c r="N840" s="163"/>
      <c r="O840" s="163"/>
      <c r="P840" s="205"/>
      <c r="Q840" s="236">
        <f t="shared" ref="Q840:Q846" si="358">SUM(R840,U840)</f>
        <v>0</v>
      </c>
      <c r="R840" s="236">
        <f t="shared" ref="R840:R845" si="359">SUM(S840:T840)</f>
        <v>0</v>
      </c>
      <c r="S840" s="236"/>
      <c r="T840" s="236"/>
      <c r="U840" s="236">
        <f t="shared" ref="U840:U846" si="360">SUM(V840:Y840)</f>
        <v>0</v>
      </c>
      <c r="V840" s="236"/>
      <c r="W840" s="232">
        <f t="shared" ref="W840:W846" si="361">V840*0.304</f>
        <v>0</v>
      </c>
      <c r="X840" s="236"/>
      <c r="Y840" s="236"/>
      <c r="Z840" s="236"/>
    </row>
    <row r="841" spans="1:26" hidden="1" outlineLevel="2">
      <c r="A841" s="19"/>
      <c r="B841" s="323"/>
      <c r="C841" s="207"/>
      <c r="D841" s="208"/>
      <c r="E841" s="133"/>
      <c r="F841" s="261"/>
      <c r="G841" s="138"/>
      <c r="H841" s="135"/>
      <c r="I841" s="206"/>
      <c r="J841" s="206"/>
      <c r="K841" s="206"/>
      <c r="L841" s="137"/>
      <c r="M841" s="163"/>
      <c r="N841" s="163"/>
      <c r="O841" s="163"/>
      <c r="P841" s="205"/>
      <c r="Q841" s="236">
        <f t="shared" si="358"/>
        <v>0</v>
      </c>
      <c r="R841" s="236">
        <f t="shared" si="359"/>
        <v>0</v>
      </c>
      <c r="S841" s="236"/>
      <c r="T841" s="236"/>
      <c r="U841" s="236">
        <f t="shared" si="360"/>
        <v>0</v>
      </c>
      <c r="V841" s="236"/>
      <c r="W841" s="232">
        <f t="shared" si="361"/>
        <v>0</v>
      </c>
      <c r="X841" s="236"/>
      <c r="Y841" s="236"/>
      <c r="Z841" s="236"/>
    </row>
    <row r="842" spans="1:26" hidden="1" outlineLevel="2">
      <c r="A842" s="19"/>
      <c r="B842" s="323"/>
      <c r="C842" s="207"/>
      <c r="D842" s="208"/>
      <c r="E842" s="133"/>
      <c r="F842" s="261"/>
      <c r="G842" s="138"/>
      <c r="H842" s="135"/>
      <c r="I842" s="206"/>
      <c r="J842" s="206"/>
      <c r="K842" s="206"/>
      <c r="L842" s="137"/>
      <c r="M842" s="163"/>
      <c r="N842" s="163"/>
      <c r="O842" s="163"/>
      <c r="P842" s="205"/>
      <c r="Q842" s="236">
        <f t="shared" si="358"/>
        <v>0</v>
      </c>
      <c r="R842" s="236">
        <f t="shared" si="359"/>
        <v>0</v>
      </c>
      <c r="S842" s="236"/>
      <c r="T842" s="236"/>
      <c r="U842" s="236">
        <f t="shared" si="360"/>
        <v>0</v>
      </c>
      <c r="V842" s="236"/>
      <c r="W842" s="232">
        <f t="shared" si="361"/>
        <v>0</v>
      </c>
      <c r="X842" s="236"/>
      <c r="Y842" s="236"/>
      <c r="Z842" s="236"/>
    </row>
    <row r="843" spans="1:26" hidden="1" outlineLevel="2">
      <c r="A843" s="19"/>
      <c r="B843" s="323"/>
      <c r="C843" s="207"/>
      <c r="D843" s="208"/>
      <c r="E843" s="133"/>
      <c r="F843" s="261"/>
      <c r="G843" s="138"/>
      <c r="H843" s="135"/>
      <c r="I843" s="206"/>
      <c r="J843" s="206"/>
      <c r="K843" s="206"/>
      <c r="L843" s="137"/>
      <c r="M843" s="163"/>
      <c r="N843" s="163"/>
      <c r="O843" s="163"/>
      <c r="P843" s="205"/>
      <c r="Q843" s="236">
        <f t="shared" si="358"/>
        <v>0</v>
      </c>
      <c r="R843" s="236">
        <f t="shared" si="359"/>
        <v>0</v>
      </c>
      <c r="S843" s="236"/>
      <c r="T843" s="236"/>
      <c r="U843" s="236">
        <f t="shared" si="360"/>
        <v>0</v>
      </c>
      <c r="V843" s="236"/>
      <c r="W843" s="232">
        <f t="shared" si="361"/>
        <v>0</v>
      </c>
      <c r="X843" s="236"/>
      <c r="Y843" s="236"/>
      <c r="Z843" s="236"/>
    </row>
    <row r="844" spans="1:26" hidden="1" outlineLevel="2">
      <c r="A844" s="160"/>
      <c r="B844" s="323"/>
      <c r="C844" s="207"/>
      <c r="D844" s="208"/>
      <c r="E844" s="133"/>
      <c r="F844" s="261"/>
      <c r="G844" s="138"/>
      <c r="H844" s="139"/>
      <c r="I844" s="206"/>
      <c r="J844" s="206"/>
      <c r="K844" s="206"/>
      <c r="L844" s="137"/>
      <c r="M844" s="74"/>
      <c r="N844" s="74"/>
      <c r="O844" s="234"/>
      <c r="P844" s="205"/>
      <c r="Q844" s="236">
        <f t="shared" si="358"/>
        <v>0</v>
      </c>
      <c r="R844" s="236">
        <f t="shared" si="359"/>
        <v>0</v>
      </c>
      <c r="S844" s="235"/>
      <c r="T844" s="235"/>
      <c r="U844" s="236">
        <f t="shared" si="360"/>
        <v>0</v>
      </c>
      <c r="V844" s="235"/>
      <c r="W844" s="232">
        <f t="shared" si="361"/>
        <v>0</v>
      </c>
      <c r="X844" s="235"/>
      <c r="Y844" s="235"/>
      <c r="Z844" s="235"/>
    </row>
    <row r="845" spans="1:26" hidden="1" outlineLevel="2">
      <c r="A845" s="160"/>
      <c r="B845" s="323"/>
      <c r="C845" s="207"/>
      <c r="D845" s="208"/>
      <c r="E845" s="133"/>
      <c r="F845" s="261"/>
      <c r="G845" s="138"/>
      <c r="H845" s="139"/>
      <c r="I845" s="206"/>
      <c r="J845" s="206"/>
      <c r="K845" s="206"/>
      <c r="L845" s="137"/>
      <c r="M845" s="74"/>
      <c r="N845" s="19"/>
      <c r="O845" s="234"/>
      <c r="P845" s="205"/>
      <c r="Q845" s="236">
        <f t="shared" si="358"/>
        <v>0</v>
      </c>
      <c r="R845" s="236">
        <f t="shared" si="359"/>
        <v>0</v>
      </c>
      <c r="S845" s="235"/>
      <c r="T845" s="235"/>
      <c r="U845" s="236">
        <f t="shared" si="360"/>
        <v>0</v>
      </c>
      <c r="V845" s="235"/>
      <c r="W845" s="232">
        <f t="shared" si="361"/>
        <v>0</v>
      </c>
      <c r="X845" s="235"/>
      <c r="Y845" s="235"/>
      <c r="Z845" s="235"/>
    </row>
    <row r="846" spans="1:26" hidden="1" outlineLevel="2">
      <c r="A846" s="160"/>
      <c r="B846" s="323"/>
      <c r="C846" s="207"/>
      <c r="D846" s="208"/>
      <c r="E846" s="133"/>
      <c r="F846" s="261"/>
      <c r="G846" s="138"/>
      <c r="H846" s="139"/>
      <c r="I846" s="206"/>
      <c r="J846" s="206"/>
      <c r="K846" s="206"/>
      <c r="L846" s="137"/>
      <c r="M846" s="74"/>
      <c r="N846" s="19"/>
      <c r="O846" s="234"/>
      <c r="P846" s="205"/>
      <c r="Q846" s="236">
        <f t="shared" si="358"/>
        <v>0</v>
      </c>
      <c r="R846" s="236">
        <f>SUM(S846:T846)</f>
        <v>0</v>
      </c>
      <c r="S846" s="235"/>
      <c r="T846" s="235"/>
      <c r="U846" s="236">
        <f t="shared" si="360"/>
        <v>0</v>
      </c>
      <c r="V846" s="235"/>
      <c r="W846" s="232">
        <f t="shared" si="361"/>
        <v>0</v>
      </c>
      <c r="X846" s="235"/>
      <c r="Y846" s="235"/>
      <c r="Z846" s="235"/>
    </row>
    <row r="847" spans="1:26" hidden="1" outlineLevel="2">
      <c r="A847" s="160"/>
      <c r="B847" s="74"/>
      <c r="C847" s="207"/>
      <c r="D847" s="208"/>
      <c r="E847" s="133"/>
      <c r="F847" s="261"/>
      <c r="G847" s="138"/>
      <c r="H847" s="139"/>
      <c r="I847" s="206"/>
      <c r="J847" s="206"/>
      <c r="K847" s="206"/>
      <c r="L847" s="137"/>
      <c r="M847" s="74"/>
      <c r="N847" s="19"/>
      <c r="O847" s="234"/>
      <c r="P847" s="205"/>
      <c r="Q847" s="235"/>
      <c r="R847" s="235"/>
      <c r="S847" s="235"/>
      <c r="T847" s="235"/>
      <c r="U847" s="235"/>
      <c r="V847" s="235"/>
      <c r="W847" s="235"/>
      <c r="X847" s="235"/>
      <c r="Y847" s="235"/>
      <c r="Z847" s="235"/>
    </row>
    <row r="848" spans="1:26" s="75" customFormat="1" outlineLevel="1" collapsed="1">
      <c r="A848" s="237"/>
      <c r="B848" s="238"/>
      <c r="C848" s="239"/>
      <c r="D848" s="240"/>
      <c r="E848" s="241"/>
      <c r="F848" s="264"/>
      <c r="G848" s="242"/>
      <c r="H848" s="243"/>
      <c r="I848" s="244"/>
      <c r="J848" s="244"/>
      <c r="K848" s="244"/>
      <c r="L848" s="150" t="str">
        <f>CONCATENATE(L849," ",N849,M849," ",L850," ",N850,M850," ",L851," ",N851,M851," ",L852," ",N852,M852," ",L853," ",N853,M853," ",L854," ",N854,M854," ",L855," ",N855,M855," ",L856," ",N856,M856," ",L857," ",N857,M857," ",L858," ",N858,M858," "," ",L859," ",N859,M859," ",L860," ",N860,M860," ",L861," ",N861,M861," ",L862," ",N862,M862," ",L863," ",N863,M863," ",L864," ",N864,M864)</f>
        <v xml:space="preserve">                                </v>
      </c>
      <c r="M848" s="243"/>
      <c r="N848" s="243"/>
      <c r="O848" s="287">
        <f>SUM(O857:O864)</f>
        <v>0</v>
      </c>
      <c r="P848" s="245"/>
      <c r="Q848" s="246">
        <f>SUM(Q857:Q864)</f>
        <v>0</v>
      </c>
      <c r="R848" s="246">
        <f t="shared" ref="R848:Y848" si="362">SUM(R857:R864)</f>
        <v>0</v>
      </c>
      <c r="S848" s="246">
        <f t="shared" si="362"/>
        <v>0</v>
      </c>
      <c r="T848" s="246">
        <f t="shared" si="362"/>
        <v>0</v>
      </c>
      <c r="U848" s="246">
        <f t="shared" si="362"/>
        <v>0</v>
      </c>
      <c r="V848" s="246">
        <f t="shared" si="362"/>
        <v>0</v>
      </c>
      <c r="W848" s="246">
        <f t="shared" si="362"/>
        <v>0</v>
      </c>
      <c r="X848" s="246">
        <f t="shared" si="362"/>
        <v>0</v>
      </c>
      <c r="Y848" s="246">
        <f t="shared" si="362"/>
        <v>0</v>
      </c>
      <c r="Z848" s="246">
        <f>SUM(Z857:Z864)</f>
        <v>0</v>
      </c>
    </row>
    <row r="849" spans="1:26" hidden="1" outlineLevel="2">
      <c r="A849" s="19"/>
      <c r="B849" s="323"/>
      <c r="C849" s="207"/>
      <c r="D849" s="208"/>
      <c r="E849" s="133"/>
      <c r="F849" s="261"/>
      <c r="G849" s="138"/>
      <c r="H849" s="135"/>
      <c r="I849" s="206"/>
      <c r="J849" s="206"/>
      <c r="K849" s="206"/>
      <c r="L849" s="137"/>
      <c r="M849" s="163"/>
      <c r="N849" s="163"/>
      <c r="O849" s="163"/>
      <c r="P849" s="205"/>
      <c r="Q849" s="236">
        <f>SUM(R849,U849)</f>
        <v>0</v>
      </c>
      <c r="R849" s="236">
        <f>SUM(S849:T849)</f>
        <v>0</v>
      </c>
      <c r="S849" s="236"/>
      <c r="T849" s="236"/>
      <c r="U849" s="236">
        <f>SUM(V849:Y849)</f>
        <v>0</v>
      </c>
      <c r="V849" s="236"/>
      <c r="W849" s="232">
        <f>V849*0.304</f>
        <v>0</v>
      </c>
      <c r="X849" s="236"/>
      <c r="Y849" s="236"/>
      <c r="Z849" s="236"/>
    </row>
    <row r="850" spans="1:26" hidden="1" outlineLevel="2">
      <c r="A850" s="19"/>
      <c r="B850" s="323"/>
      <c r="C850" s="207"/>
      <c r="D850" s="208"/>
      <c r="E850" s="133"/>
      <c r="F850" s="261"/>
      <c r="G850" s="138"/>
      <c r="H850" s="135"/>
      <c r="I850" s="206"/>
      <c r="J850" s="206"/>
      <c r="K850" s="206"/>
      <c r="L850" s="137"/>
      <c r="M850" s="163"/>
      <c r="N850" s="163"/>
      <c r="O850" s="163"/>
      <c r="P850" s="205"/>
      <c r="Q850" s="236">
        <f t="shared" ref="Q850:Q856" si="363">SUM(R850,U850)</f>
        <v>0</v>
      </c>
      <c r="R850" s="236">
        <f t="shared" ref="R850:R855" si="364">SUM(S850:T850)</f>
        <v>0</v>
      </c>
      <c r="S850" s="236"/>
      <c r="T850" s="236"/>
      <c r="U850" s="236">
        <f t="shared" ref="U850:U856" si="365">SUM(V850:Y850)</f>
        <v>0</v>
      </c>
      <c r="V850" s="236"/>
      <c r="W850" s="232">
        <f t="shared" ref="W850:W856" si="366">V850*0.304</f>
        <v>0</v>
      </c>
      <c r="X850" s="236"/>
      <c r="Y850" s="236"/>
      <c r="Z850" s="236"/>
    </row>
    <row r="851" spans="1:26" hidden="1" outlineLevel="2">
      <c r="A851" s="19"/>
      <c r="B851" s="323"/>
      <c r="C851" s="207"/>
      <c r="D851" s="208"/>
      <c r="E851" s="133"/>
      <c r="F851" s="261"/>
      <c r="G851" s="138"/>
      <c r="H851" s="135"/>
      <c r="I851" s="206"/>
      <c r="J851" s="206"/>
      <c r="K851" s="206"/>
      <c r="L851" s="137"/>
      <c r="M851" s="163"/>
      <c r="N851" s="163"/>
      <c r="O851" s="163"/>
      <c r="P851" s="205"/>
      <c r="Q851" s="236">
        <f t="shared" si="363"/>
        <v>0</v>
      </c>
      <c r="R851" s="236">
        <f t="shared" si="364"/>
        <v>0</v>
      </c>
      <c r="S851" s="236"/>
      <c r="T851" s="236"/>
      <c r="U851" s="236">
        <f t="shared" si="365"/>
        <v>0</v>
      </c>
      <c r="V851" s="236"/>
      <c r="W851" s="232">
        <f t="shared" si="366"/>
        <v>0</v>
      </c>
      <c r="X851" s="236"/>
      <c r="Y851" s="236"/>
      <c r="Z851" s="236"/>
    </row>
    <row r="852" spans="1:26" hidden="1" outlineLevel="2">
      <c r="A852" s="19"/>
      <c r="B852" s="323"/>
      <c r="C852" s="207"/>
      <c r="D852" s="208"/>
      <c r="E852" s="133"/>
      <c r="F852" s="261"/>
      <c r="G852" s="138"/>
      <c r="H852" s="135"/>
      <c r="I852" s="206"/>
      <c r="J852" s="206"/>
      <c r="K852" s="206"/>
      <c r="L852" s="137"/>
      <c r="M852" s="163"/>
      <c r="N852" s="163"/>
      <c r="O852" s="163"/>
      <c r="P852" s="205"/>
      <c r="Q852" s="236">
        <f t="shared" si="363"/>
        <v>0</v>
      </c>
      <c r="R852" s="236">
        <f t="shared" si="364"/>
        <v>0</v>
      </c>
      <c r="S852" s="236"/>
      <c r="T852" s="236"/>
      <c r="U852" s="236">
        <f t="shared" si="365"/>
        <v>0</v>
      </c>
      <c r="V852" s="236"/>
      <c r="W852" s="232">
        <f t="shared" si="366"/>
        <v>0</v>
      </c>
      <c r="X852" s="236"/>
      <c r="Y852" s="236"/>
      <c r="Z852" s="236"/>
    </row>
    <row r="853" spans="1:26" hidden="1" outlineLevel="2">
      <c r="A853" s="19"/>
      <c r="B853" s="323"/>
      <c r="C853" s="207"/>
      <c r="D853" s="208"/>
      <c r="E853" s="133"/>
      <c r="F853" s="261"/>
      <c r="G853" s="138"/>
      <c r="H853" s="135"/>
      <c r="I853" s="206"/>
      <c r="J853" s="206"/>
      <c r="K853" s="206"/>
      <c r="L853" s="137"/>
      <c r="M853" s="163"/>
      <c r="N853" s="163"/>
      <c r="O853" s="163"/>
      <c r="P853" s="205"/>
      <c r="Q853" s="236">
        <f t="shared" si="363"/>
        <v>0</v>
      </c>
      <c r="R853" s="236">
        <f t="shared" si="364"/>
        <v>0</v>
      </c>
      <c r="S853" s="236"/>
      <c r="T853" s="236"/>
      <c r="U853" s="236">
        <f t="shared" si="365"/>
        <v>0</v>
      </c>
      <c r="V853" s="236"/>
      <c r="W853" s="232">
        <f t="shared" si="366"/>
        <v>0</v>
      </c>
      <c r="X853" s="236"/>
      <c r="Y853" s="236"/>
      <c r="Z853" s="236"/>
    </row>
    <row r="854" spans="1:26" hidden="1" outlineLevel="2">
      <c r="A854" s="160"/>
      <c r="B854" s="323"/>
      <c r="C854" s="207"/>
      <c r="D854" s="208"/>
      <c r="E854" s="133"/>
      <c r="F854" s="261"/>
      <c r="G854" s="138"/>
      <c r="H854" s="139"/>
      <c r="I854" s="206"/>
      <c r="J854" s="206"/>
      <c r="K854" s="206"/>
      <c r="L854" s="137"/>
      <c r="M854" s="74"/>
      <c r="N854" s="74"/>
      <c r="O854" s="234"/>
      <c r="P854" s="205"/>
      <c r="Q854" s="236">
        <f t="shared" si="363"/>
        <v>0</v>
      </c>
      <c r="R854" s="236">
        <f t="shared" si="364"/>
        <v>0</v>
      </c>
      <c r="S854" s="235"/>
      <c r="T854" s="235"/>
      <c r="U854" s="236">
        <f t="shared" si="365"/>
        <v>0</v>
      </c>
      <c r="V854" s="235"/>
      <c r="W854" s="232">
        <f t="shared" si="366"/>
        <v>0</v>
      </c>
      <c r="X854" s="235"/>
      <c r="Y854" s="235"/>
      <c r="Z854" s="235"/>
    </row>
    <row r="855" spans="1:26" hidden="1" outlineLevel="2">
      <c r="A855" s="160"/>
      <c r="B855" s="323"/>
      <c r="C855" s="207"/>
      <c r="D855" s="208"/>
      <c r="E855" s="133"/>
      <c r="F855" s="261"/>
      <c r="G855" s="138"/>
      <c r="H855" s="139"/>
      <c r="I855" s="206"/>
      <c r="J855" s="206"/>
      <c r="K855" s="206"/>
      <c r="L855" s="137"/>
      <c r="M855" s="74"/>
      <c r="N855" s="19"/>
      <c r="O855" s="234"/>
      <c r="P855" s="205"/>
      <c r="Q855" s="236">
        <f t="shared" si="363"/>
        <v>0</v>
      </c>
      <c r="R855" s="236">
        <f t="shared" si="364"/>
        <v>0</v>
      </c>
      <c r="S855" s="235"/>
      <c r="T855" s="235"/>
      <c r="U855" s="236">
        <f t="shared" si="365"/>
        <v>0</v>
      </c>
      <c r="V855" s="235"/>
      <c r="W855" s="232">
        <f t="shared" si="366"/>
        <v>0</v>
      </c>
      <c r="X855" s="235"/>
      <c r="Y855" s="235"/>
      <c r="Z855" s="235"/>
    </row>
    <row r="856" spans="1:26" hidden="1" outlineLevel="2">
      <c r="A856" s="160"/>
      <c r="B856" s="323"/>
      <c r="C856" s="207"/>
      <c r="D856" s="208"/>
      <c r="E856" s="133"/>
      <c r="F856" s="261"/>
      <c r="G856" s="138"/>
      <c r="H856" s="139"/>
      <c r="I856" s="206"/>
      <c r="J856" s="206"/>
      <c r="K856" s="206"/>
      <c r="L856" s="137"/>
      <c r="M856" s="74"/>
      <c r="N856" s="19"/>
      <c r="O856" s="234"/>
      <c r="P856" s="205"/>
      <c r="Q856" s="236">
        <f t="shared" si="363"/>
        <v>0</v>
      </c>
      <c r="R856" s="236">
        <f>SUM(S856:T856)</f>
        <v>0</v>
      </c>
      <c r="S856" s="235"/>
      <c r="T856" s="235"/>
      <c r="U856" s="236">
        <f t="shared" si="365"/>
        <v>0</v>
      </c>
      <c r="V856" s="235"/>
      <c r="W856" s="232">
        <f t="shared" si="366"/>
        <v>0</v>
      </c>
      <c r="X856" s="235"/>
      <c r="Y856" s="235"/>
      <c r="Z856" s="235"/>
    </row>
    <row r="857" spans="1:26" hidden="1" outlineLevel="2">
      <c r="A857" s="19"/>
      <c r="B857" s="323"/>
      <c r="C857" s="207"/>
      <c r="D857" s="208"/>
      <c r="E857" s="133"/>
      <c r="F857" s="261"/>
      <c r="G857" s="138"/>
      <c r="H857" s="135"/>
      <c r="I857" s="206"/>
      <c r="J857" s="206"/>
      <c r="K857" s="206"/>
      <c r="L857" s="137"/>
      <c r="M857" s="163"/>
      <c r="N857" s="163"/>
      <c r="O857" s="163"/>
      <c r="P857" s="205"/>
      <c r="Q857" s="236">
        <f>SUM(R857,U857)</f>
        <v>0</v>
      </c>
      <c r="R857" s="236">
        <f>SUM(S857:T857)</f>
        <v>0</v>
      </c>
      <c r="S857" s="236"/>
      <c r="T857" s="236"/>
      <c r="U857" s="236">
        <f>SUM(V857:Y857)</f>
        <v>0</v>
      </c>
      <c r="V857" s="236"/>
      <c r="W857" s="232">
        <f>V857*0.304</f>
        <v>0</v>
      </c>
      <c r="X857" s="236"/>
      <c r="Y857" s="236"/>
      <c r="Z857" s="236"/>
    </row>
    <row r="858" spans="1:26" hidden="1" outlineLevel="2">
      <c r="A858" s="19"/>
      <c r="B858" s="323"/>
      <c r="C858" s="207"/>
      <c r="D858" s="208"/>
      <c r="E858" s="133"/>
      <c r="F858" s="261"/>
      <c r="G858" s="138"/>
      <c r="H858" s="135"/>
      <c r="I858" s="206"/>
      <c r="J858" s="206"/>
      <c r="K858" s="206"/>
      <c r="L858" s="137"/>
      <c r="M858" s="163"/>
      <c r="N858" s="163"/>
      <c r="O858" s="163"/>
      <c r="P858" s="205"/>
      <c r="Q858" s="236">
        <f t="shared" ref="Q858:Q864" si="367">SUM(R858,U858)</f>
        <v>0</v>
      </c>
      <c r="R858" s="236">
        <f t="shared" ref="R858:R863" si="368">SUM(S858:T858)</f>
        <v>0</v>
      </c>
      <c r="S858" s="236"/>
      <c r="T858" s="236"/>
      <c r="U858" s="236">
        <f t="shared" ref="U858:U864" si="369">SUM(V858:Y858)</f>
        <v>0</v>
      </c>
      <c r="V858" s="236"/>
      <c r="W858" s="232">
        <f t="shared" ref="W858:W864" si="370">V858*0.304</f>
        <v>0</v>
      </c>
      <c r="X858" s="236"/>
      <c r="Y858" s="236"/>
      <c r="Z858" s="236"/>
    </row>
    <row r="859" spans="1:26" hidden="1" outlineLevel="2">
      <c r="A859" s="19"/>
      <c r="B859" s="323"/>
      <c r="C859" s="207"/>
      <c r="D859" s="208"/>
      <c r="E859" s="133"/>
      <c r="F859" s="261"/>
      <c r="G859" s="138"/>
      <c r="H859" s="135"/>
      <c r="I859" s="206"/>
      <c r="J859" s="206"/>
      <c r="K859" s="206"/>
      <c r="L859" s="137"/>
      <c r="M859" s="163"/>
      <c r="N859" s="163"/>
      <c r="O859" s="163"/>
      <c r="P859" s="205"/>
      <c r="Q859" s="236">
        <f t="shared" si="367"/>
        <v>0</v>
      </c>
      <c r="R859" s="236">
        <f t="shared" si="368"/>
        <v>0</v>
      </c>
      <c r="S859" s="236"/>
      <c r="T859" s="236"/>
      <c r="U859" s="236">
        <f t="shared" si="369"/>
        <v>0</v>
      </c>
      <c r="V859" s="236"/>
      <c r="W859" s="232">
        <f t="shared" si="370"/>
        <v>0</v>
      </c>
      <c r="X859" s="236"/>
      <c r="Y859" s="236"/>
      <c r="Z859" s="236"/>
    </row>
    <row r="860" spans="1:26" hidden="1" outlineLevel="2">
      <c r="A860" s="19"/>
      <c r="B860" s="323"/>
      <c r="C860" s="207"/>
      <c r="D860" s="208"/>
      <c r="E860" s="133"/>
      <c r="F860" s="261"/>
      <c r="G860" s="138"/>
      <c r="H860" s="135"/>
      <c r="I860" s="206"/>
      <c r="J860" s="206"/>
      <c r="K860" s="206"/>
      <c r="L860" s="137"/>
      <c r="M860" s="163"/>
      <c r="N860" s="163"/>
      <c r="O860" s="163"/>
      <c r="P860" s="205"/>
      <c r="Q860" s="236">
        <f t="shared" si="367"/>
        <v>0</v>
      </c>
      <c r="R860" s="236">
        <f t="shared" si="368"/>
        <v>0</v>
      </c>
      <c r="S860" s="236"/>
      <c r="T860" s="236"/>
      <c r="U860" s="236">
        <f t="shared" si="369"/>
        <v>0</v>
      </c>
      <c r="V860" s="236"/>
      <c r="W860" s="232">
        <f t="shared" si="370"/>
        <v>0</v>
      </c>
      <c r="X860" s="236"/>
      <c r="Y860" s="236"/>
      <c r="Z860" s="236"/>
    </row>
    <row r="861" spans="1:26" hidden="1" outlineLevel="2">
      <c r="A861" s="19"/>
      <c r="B861" s="323"/>
      <c r="C861" s="207"/>
      <c r="D861" s="208"/>
      <c r="E861" s="133"/>
      <c r="F861" s="261"/>
      <c r="G861" s="138"/>
      <c r="H861" s="135"/>
      <c r="I861" s="206"/>
      <c r="J861" s="206"/>
      <c r="K861" s="206"/>
      <c r="L861" s="137"/>
      <c r="M861" s="163"/>
      <c r="N861" s="163"/>
      <c r="O861" s="163"/>
      <c r="P861" s="205"/>
      <c r="Q861" s="236">
        <f t="shared" si="367"/>
        <v>0</v>
      </c>
      <c r="R861" s="236">
        <f t="shared" si="368"/>
        <v>0</v>
      </c>
      <c r="S861" s="236"/>
      <c r="T861" s="236"/>
      <c r="U861" s="236">
        <f t="shared" si="369"/>
        <v>0</v>
      </c>
      <c r="V861" s="236"/>
      <c r="W861" s="232">
        <f t="shared" si="370"/>
        <v>0</v>
      </c>
      <c r="X861" s="236"/>
      <c r="Y861" s="236"/>
      <c r="Z861" s="236"/>
    </row>
    <row r="862" spans="1:26" hidden="1" outlineLevel="2">
      <c r="A862" s="160"/>
      <c r="B862" s="323"/>
      <c r="C862" s="207"/>
      <c r="D862" s="208"/>
      <c r="E862" s="133"/>
      <c r="F862" s="261"/>
      <c r="G862" s="138"/>
      <c r="H862" s="139"/>
      <c r="I862" s="206"/>
      <c r="J862" s="206"/>
      <c r="K862" s="206"/>
      <c r="L862" s="137"/>
      <c r="M862" s="74"/>
      <c r="N862" s="74"/>
      <c r="O862" s="234"/>
      <c r="P862" s="205"/>
      <c r="Q862" s="236">
        <f t="shared" si="367"/>
        <v>0</v>
      </c>
      <c r="R862" s="236">
        <f t="shared" si="368"/>
        <v>0</v>
      </c>
      <c r="S862" s="235"/>
      <c r="T862" s="235"/>
      <c r="U862" s="236">
        <f t="shared" si="369"/>
        <v>0</v>
      </c>
      <c r="V862" s="235"/>
      <c r="W862" s="232">
        <f t="shared" si="370"/>
        <v>0</v>
      </c>
      <c r="X862" s="235"/>
      <c r="Y862" s="235"/>
      <c r="Z862" s="235"/>
    </row>
    <row r="863" spans="1:26" hidden="1" outlineLevel="2">
      <c r="A863" s="160"/>
      <c r="B863" s="323"/>
      <c r="C863" s="207"/>
      <c r="D863" s="208"/>
      <c r="E863" s="133"/>
      <c r="F863" s="261"/>
      <c r="G863" s="138"/>
      <c r="H863" s="139"/>
      <c r="I863" s="206"/>
      <c r="J863" s="206"/>
      <c r="K863" s="206"/>
      <c r="L863" s="137"/>
      <c r="M863" s="74"/>
      <c r="N863" s="19"/>
      <c r="O863" s="234"/>
      <c r="P863" s="205"/>
      <c r="Q863" s="236">
        <f t="shared" si="367"/>
        <v>0</v>
      </c>
      <c r="R863" s="236">
        <f t="shared" si="368"/>
        <v>0</v>
      </c>
      <c r="S863" s="235"/>
      <c r="T863" s="235"/>
      <c r="U863" s="236">
        <f t="shared" si="369"/>
        <v>0</v>
      </c>
      <c r="V863" s="235"/>
      <c r="W863" s="232">
        <f t="shared" si="370"/>
        <v>0</v>
      </c>
      <c r="X863" s="235"/>
      <c r="Y863" s="235"/>
      <c r="Z863" s="235"/>
    </row>
    <row r="864" spans="1:26" hidden="1" outlineLevel="2">
      <c r="A864" s="160"/>
      <c r="B864" s="323"/>
      <c r="C864" s="207"/>
      <c r="D864" s="208"/>
      <c r="E864" s="133"/>
      <c r="F864" s="261"/>
      <c r="G864" s="138"/>
      <c r="H864" s="139"/>
      <c r="I864" s="206"/>
      <c r="J864" s="206"/>
      <c r="K864" s="206"/>
      <c r="L864" s="137"/>
      <c r="M864" s="74"/>
      <c r="N864" s="19"/>
      <c r="O864" s="234"/>
      <c r="P864" s="205"/>
      <c r="Q864" s="236">
        <f t="shared" si="367"/>
        <v>0</v>
      </c>
      <c r="R864" s="236">
        <f>SUM(S864:T864)</f>
        <v>0</v>
      </c>
      <c r="S864" s="235"/>
      <c r="T864" s="235"/>
      <c r="U864" s="236">
        <f t="shared" si="369"/>
        <v>0</v>
      </c>
      <c r="V864" s="235"/>
      <c r="W864" s="232">
        <f t="shared" si="370"/>
        <v>0</v>
      </c>
      <c r="X864" s="235"/>
      <c r="Y864" s="235"/>
      <c r="Z864" s="235"/>
    </row>
    <row r="865" spans="1:26" hidden="1" outlineLevel="2">
      <c r="A865" s="160"/>
      <c r="B865" s="74"/>
      <c r="C865" s="207"/>
      <c r="D865" s="208"/>
      <c r="E865" s="133"/>
      <c r="F865" s="261"/>
      <c r="G865" s="138"/>
      <c r="H865" s="139"/>
      <c r="I865" s="206"/>
      <c r="J865" s="206"/>
      <c r="K865" s="206"/>
      <c r="L865" s="137"/>
      <c r="M865" s="74"/>
      <c r="N865" s="19"/>
      <c r="O865" s="234"/>
      <c r="P865" s="205"/>
      <c r="Q865" s="235"/>
      <c r="R865" s="235"/>
      <c r="S865" s="235"/>
      <c r="T865" s="235"/>
      <c r="U865" s="235"/>
      <c r="V865" s="235"/>
      <c r="W865" s="235"/>
      <c r="X865" s="235"/>
      <c r="Y865" s="235"/>
      <c r="Z865" s="235"/>
    </row>
    <row r="866" spans="1:26" s="75" customFormat="1" outlineLevel="1" collapsed="1">
      <c r="A866" s="237"/>
      <c r="B866" s="238"/>
      <c r="C866" s="239"/>
      <c r="D866" s="240"/>
      <c r="E866" s="241"/>
      <c r="F866" s="264"/>
      <c r="G866" s="242"/>
      <c r="H866" s="243"/>
      <c r="I866" s="244"/>
      <c r="J866" s="244"/>
      <c r="K866" s="244"/>
      <c r="L866" s="150" t="str">
        <f>CONCATENATE(L867," ",N867,M867," ",L868," ",N868,M868," ",L869," ",N869,M869," ",L870," ",N870,M870," ",L871," ",N871,M871," ",L872," ",N872,M872," ",L873," ",N873,M873," ",L874," ",N874,M874," ",L875," ",N875,M875," ",L876," ",N876,M876," "," ",L877," ",N877,M877," ",L878," ",N878,M878," ",L879," ",N879,M879," ",L880," ",N880,M880," ",L881," ",N881,M881," ",L882," ",N882,M882)</f>
        <v xml:space="preserve">                                </v>
      </c>
      <c r="M866" s="243"/>
      <c r="N866" s="243"/>
      <c r="O866" s="287">
        <f>SUM(O875:O882)</f>
        <v>0</v>
      </c>
      <c r="P866" s="245"/>
      <c r="Q866" s="246">
        <f>SUM(Q875:Q882)</f>
        <v>0</v>
      </c>
      <c r="R866" s="246">
        <f t="shared" ref="R866:Y866" si="371">SUM(R875:R882)</f>
        <v>0</v>
      </c>
      <c r="S866" s="246">
        <f t="shared" si="371"/>
        <v>0</v>
      </c>
      <c r="T866" s="246">
        <f t="shared" si="371"/>
        <v>0</v>
      </c>
      <c r="U866" s="246">
        <f t="shared" si="371"/>
        <v>0</v>
      </c>
      <c r="V866" s="246">
        <f t="shared" si="371"/>
        <v>0</v>
      </c>
      <c r="W866" s="246">
        <f t="shared" si="371"/>
        <v>0</v>
      </c>
      <c r="X866" s="246">
        <f t="shared" si="371"/>
        <v>0</v>
      </c>
      <c r="Y866" s="246">
        <f t="shared" si="371"/>
        <v>0</v>
      </c>
      <c r="Z866" s="246">
        <f>SUM(Z875:Z882)</f>
        <v>0</v>
      </c>
    </row>
    <row r="867" spans="1:26" hidden="1" outlineLevel="2">
      <c r="A867" s="19"/>
      <c r="B867" s="323"/>
      <c r="C867" s="207"/>
      <c r="D867" s="208"/>
      <c r="E867" s="133"/>
      <c r="F867" s="261"/>
      <c r="G867" s="138"/>
      <c r="H867" s="135"/>
      <c r="I867" s="206"/>
      <c r="J867" s="206"/>
      <c r="K867" s="206"/>
      <c r="L867" s="137"/>
      <c r="M867" s="163"/>
      <c r="N867" s="163"/>
      <c r="O867" s="163"/>
      <c r="P867" s="205"/>
      <c r="Q867" s="236">
        <f>SUM(R867,U867)</f>
        <v>0</v>
      </c>
      <c r="R867" s="236">
        <f>SUM(S867:T867)</f>
        <v>0</v>
      </c>
      <c r="S867" s="236"/>
      <c r="T867" s="236"/>
      <c r="U867" s="236">
        <f>SUM(V867:Y867)</f>
        <v>0</v>
      </c>
      <c r="V867" s="236"/>
      <c r="W867" s="232">
        <f>V867*0.304</f>
        <v>0</v>
      </c>
      <c r="X867" s="236"/>
      <c r="Y867" s="236"/>
      <c r="Z867" s="236"/>
    </row>
    <row r="868" spans="1:26" hidden="1" outlineLevel="2">
      <c r="A868" s="19"/>
      <c r="B868" s="323"/>
      <c r="C868" s="207"/>
      <c r="D868" s="208"/>
      <c r="E868" s="133"/>
      <c r="F868" s="261"/>
      <c r="G868" s="138"/>
      <c r="H868" s="135"/>
      <c r="I868" s="206"/>
      <c r="J868" s="206"/>
      <c r="K868" s="206"/>
      <c r="L868" s="137"/>
      <c r="M868" s="163"/>
      <c r="N868" s="163"/>
      <c r="O868" s="163"/>
      <c r="P868" s="205"/>
      <c r="Q868" s="236">
        <f t="shared" ref="Q868:Q874" si="372">SUM(R868,U868)</f>
        <v>0</v>
      </c>
      <c r="R868" s="236">
        <f t="shared" ref="R868:R873" si="373">SUM(S868:T868)</f>
        <v>0</v>
      </c>
      <c r="S868" s="236"/>
      <c r="T868" s="236"/>
      <c r="U868" s="236">
        <f t="shared" ref="U868:U874" si="374">SUM(V868:Y868)</f>
        <v>0</v>
      </c>
      <c r="V868" s="236"/>
      <c r="W868" s="232">
        <f t="shared" ref="W868:W874" si="375">V868*0.304</f>
        <v>0</v>
      </c>
      <c r="X868" s="236"/>
      <c r="Y868" s="236"/>
      <c r="Z868" s="236"/>
    </row>
    <row r="869" spans="1:26" hidden="1" outlineLevel="2">
      <c r="A869" s="19"/>
      <c r="B869" s="323"/>
      <c r="C869" s="207"/>
      <c r="D869" s="208"/>
      <c r="E869" s="133"/>
      <c r="F869" s="261"/>
      <c r="G869" s="138"/>
      <c r="H869" s="135"/>
      <c r="I869" s="206"/>
      <c r="J869" s="206"/>
      <c r="K869" s="206"/>
      <c r="L869" s="137"/>
      <c r="M869" s="163"/>
      <c r="N869" s="163"/>
      <c r="O869" s="163"/>
      <c r="P869" s="205"/>
      <c r="Q869" s="236">
        <f t="shared" si="372"/>
        <v>0</v>
      </c>
      <c r="R869" s="236">
        <f t="shared" si="373"/>
        <v>0</v>
      </c>
      <c r="S869" s="236"/>
      <c r="T869" s="236"/>
      <c r="U869" s="236">
        <f t="shared" si="374"/>
        <v>0</v>
      </c>
      <c r="V869" s="236"/>
      <c r="W869" s="232">
        <f t="shared" si="375"/>
        <v>0</v>
      </c>
      <c r="X869" s="236"/>
      <c r="Y869" s="236"/>
      <c r="Z869" s="236"/>
    </row>
    <row r="870" spans="1:26" hidden="1" outlineLevel="2">
      <c r="A870" s="19"/>
      <c r="B870" s="323"/>
      <c r="C870" s="207"/>
      <c r="D870" s="208"/>
      <c r="E870" s="133"/>
      <c r="F870" s="261"/>
      <c r="G870" s="138"/>
      <c r="H870" s="135"/>
      <c r="I870" s="206"/>
      <c r="J870" s="206"/>
      <c r="K870" s="206"/>
      <c r="L870" s="137"/>
      <c r="M870" s="163"/>
      <c r="N870" s="163"/>
      <c r="O870" s="163"/>
      <c r="P870" s="205"/>
      <c r="Q870" s="236">
        <f t="shared" si="372"/>
        <v>0</v>
      </c>
      <c r="R870" s="236">
        <f t="shared" si="373"/>
        <v>0</v>
      </c>
      <c r="S870" s="236"/>
      <c r="T870" s="236"/>
      <c r="U870" s="236">
        <f t="shared" si="374"/>
        <v>0</v>
      </c>
      <c r="V870" s="236"/>
      <c r="W870" s="232">
        <f t="shared" si="375"/>
        <v>0</v>
      </c>
      <c r="X870" s="236"/>
      <c r="Y870" s="236"/>
      <c r="Z870" s="236"/>
    </row>
    <row r="871" spans="1:26" hidden="1" outlineLevel="2">
      <c r="A871" s="19"/>
      <c r="B871" s="323"/>
      <c r="C871" s="207"/>
      <c r="D871" s="208"/>
      <c r="E871" s="133"/>
      <c r="F871" s="261"/>
      <c r="G871" s="138"/>
      <c r="H871" s="135"/>
      <c r="I871" s="206"/>
      <c r="J871" s="206"/>
      <c r="K871" s="206"/>
      <c r="L871" s="137"/>
      <c r="M871" s="163"/>
      <c r="N871" s="163"/>
      <c r="O871" s="163"/>
      <c r="P871" s="205"/>
      <c r="Q871" s="236">
        <f t="shared" si="372"/>
        <v>0</v>
      </c>
      <c r="R871" s="236">
        <f t="shared" si="373"/>
        <v>0</v>
      </c>
      <c r="S871" s="236"/>
      <c r="T871" s="236"/>
      <c r="U871" s="236">
        <f t="shared" si="374"/>
        <v>0</v>
      </c>
      <c r="V871" s="236"/>
      <c r="W871" s="232">
        <f t="shared" si="375"/>
        <v>0</v>
      </c>
      <c r="X871" s="236"/>
      <c r="Y871" s="236"/>
      <c r="Z871" s="236"/>
    </row>
    <row r="872" spans="1:26" hidden="1" outlineLevel="2">
      <c r="A872" s="160"/>
      <c r="B872" s="323"/>
      <c r="C872" s="207"/>
      <c r="D872" s="208"/>
      <c r="E872" s="133"/>
      <c r="F872" s="261"/>
      <c r="G872" s="138"/>
      <c r="H872" s="139"/>
      <c r="I872" s="206"/>
      <c r="J872" s="206"/>
      <c r="K872" s="206"/>
      <c r="L872" s="137"/>
      <c r="M872" s="74"/>
      <c r="N872" s="74"/>
      <c r="O872" s="234"/>
      <c r="P872" s="205"/>
      <c r="Q872" s="236">
        <f t="shared" si="372"/>
        <v>0</v>
      </c>
      <c r="R872" s="236">
        <f t="shared" si="373"/>
        <v>0</v>
      </c>
      <c r="S872" s="235"/>
      <c r="T872" s="235"/>
      <c r="U872" s="236">
        <f t="shared" si="374"/>
        <v>0</v>
      </c>
      <c r="V872" s="235"/>
      <c r="W872" s="232">
        <f t="shared" si="375"/>
        <v>0</v>
      </c>
      <c r="X872" s="235"/>
      <c r="Y872" s="235"/>
      <c r="Z872" s="235"/>
    </row>
    <row r="873" spans="1:26" hidden="1" outlineLevel="2">
      <c r="A873" s="160"/>
      <c r="B873" s="323"/>
      <c r="C873" s="207"/>
      <c r="D873" s="208"/>
      <c r="E873" s="133"/>
      <c r="F873" s="261"/>
      <c r="G873" s="138"/>
      <c r="H873" s="139"/>
      <c r="I873" s="206"/>
      <c r="J873" s="206"/>
      <c r="K873" s="206"/>
      <c r="L873" s="137"/>
      <c r="M873" s="74"/>
      <c r="N873" s="19"/>
      <c r="O873" s="234"/>
      <c r="P873" s="205"/>
      <c r="Q873" s="236">
        <f t="shared" si="372"/>
        <v>0</v>
      </c>
      <c r="R873" s="236">
        <f t="shared" si="373"/>
        <v>0</v>
      </c>
      <c r="S873" s="235"/>
      <c r="T873" s="235"/>
      <c r="U873" s="236">
        <f t="shared" si="374"/>
        <v>0</v>
      </c>
      <c r="V873" s="235"/>
      <c r="W873" s="232">
        <f t="shared" si="375"/>
        <v>0</v>
      </c>
      <c r="X873" s="235"/>
      <c r="Y873" s="235"/>
      <c r="Z873" s="235"/>
    </row>
    <row r="874" spans="1:26" hidden="1" outlineLevel="2">
      <c r="A874" s="160"/>
      <c r="B874" s="323"/>
      <c r="C874" s="207"/>
      <c r="D874" s="208"/>
      <c r="E874" s="133"/>
      <c r="F874" s="261"/>
      <c r="G874" s="138"/>
      <c r="H874" s="139"/>
      <c r="I874" s="206"/>
      <c r="J874" s="206"/>
      <c r="K874" s="206"/>
      <c r="L874" s="137"/>
      <c r="M874" s="74"/>
      <c r="N874" s="19"/>
      <c r="O874" s="234"/>
      <c r="P874" s="205"/>
      <c r="Q874" s="236">
        <f t="shared" si="372"/>
        <v>0</v>
      </c>
      <c r="R874" s="236">
        <f>SUM(S874:T874)</f>
        <v>0</v>
      </c>
      <c r="S874" s="235"/>
      <c r="T874" s="235"/>
      <c r="U874" s="236">
        <f t="shared" si="374"/>
        <v>0</v>
      </c>
      <c r="V874" s="235"/>
      <c r="W874" s="232">
        <f t="shared" si="375"/>
        <v>0</v>
      </c>
      <c r="X874" s="235"/>
      <c r="Y874" s="235"/>
      <c r="Z874" s="235"/>
    </row>
    <row r="875" spans="1:26" hidden="1" outlineLevel="2">
      <c r="A875" s="19"/>
      <c r="B875" s="323"/>
      <c r="C875" s="207"/>
      <c r="D875" s="208"/>
      <c r="E875" s="133"/>
      <c r="F875" s="261"/>
      <c r="G875" s="138"/>
      <c r="H875" s="135"/>
      <c r="I875" s="206"/>
      <c r="J875" s="206"/>
      <c r="K875" s="206"/>
      <c r="L875" s="137"/>
      <c r="M875" s="163"/>
      <c r="N875" s="163"/>
      <c r="O875" s="163"/>
      <c r="P875" s="205"/>
      <c r="Q875" s="236">
        <f>SUM(R875,U875)</f>
        <v>0</v>
      </c>
      <c r="R875" s="236">
        <f>SUM(S875:T875)</f>
        <v>0</v>
      </c>
      <c r="S875" s="236"/>
      <c r="T875" s="236"/>
      <c r="U875" s="236">
        <f>SUM(V875:Y875)</f>
        <v>0</v>
      </c>
      <c r="V875" s="236"/>
      <c r="W875" s="232">
        <f>V875*0.304</f>
        <v>0</v>
      </c>
      <c r="X875" s="236"/>
      <c r="Y875" s="236"/>
      <c r="Z875" s="236"/>
    </row>
    <row r="876" spans="1:26" hidden="1" outlineLevel="2">
      <c r="A876" s="19"/>
      <c r="B876" s="323"/>
      <c r="C876" s="207"/>
      <c r="D876" s="208"/>
      <c r="E876" s="133"/>
      <c r="F876" s="261"/>
      <c r="G876" s="138"/>
      <c r="H876" s="135"/>
      <c r="I876" s="206"/>
      <c r="J876" s="206"/>
      <c r="K876" s="206"/>
      <c r="L876" s="137"/>
      <c r="M876" s="163"/>
      <c r="N876" s="163"/>
      <c r="O876" s="163"/>
      <c r="P876" s="205"/>
      <c r="Q876" s="236">
        <f t="shared" ref="Q876:Q882" si="376">SUM(R876,U876)</f>
        <v>0</v>
      </c>
      <c r="R876" s="236">
        <f t="shared" ref="R876:R881" si="377">SUM(S876:T876)</f>
        <v>0</v>
      </c>
      <c r="S876" s="236"/>
      <c r="T876" s="236"/>
      <c r="U876" s="236">
        <f t="shared" ref="U876:U882" si="378">SUM(V876:Y876)</f>
        <v>0</v>
      </c>
      <c r="V876" s="236"/>
      <c r="W876" s="232">
        <f t="shared" ref="W876:W882" si="379">V876*0.304</f>
        <v>0</v>
      </c>
      <c r="X876" s="236"/>
      <c r="Y876" s="236"/>
      <c r="Z876" s="236"/>
    </row>
    <row r="877" spans="1:26" hidden="1" outlineLevel="2">
      <c r="A877" s="19"/>
      <c r="B877" s="323"/>
      <c r="C877" s="207"/>
      <c r="D877" s="208"/>
      <c r="E877" s="133"/>
      <c r="F877" s="261"/>
      <c r="G877" s="138"/>
      <c r="H877" s="135"/>
      <c r="I877" s="206"/>
      <c r="J877" s="206"/>
      <c r="K877" s="206"/>
      <c r="L877" s="137"/>
      <c r="M877" s="163"/>
      <c r="N877" s="163"/>
      <c r="O877" s="163"/>
      <c r="P877" s="205"/>
      <c r="Q877" s="236">
        <f t="shared" si="376"/>
        <v>0</v>
      </c>
      <c r="R877" s="236">
        <f t="shared" si="377"/>
        <v>0</v>
      </c>
      <c r="S877" s="236"/>
      <c r="T877" s="236"/>
      <c r="U877" s="236">
        <f t="shared" si="378"/>
        <v>0</v>
      </c>
      <c r="V877" s="236"/>
      <c r="W877" s="232">
        <f t="shared" si="379"/>
        <v>0</v>
      </c>
      <c r="X877" s="236"/>
      <c r="Y877" s="236"/>
      <c r="Z877" s="236"/>
    </row>
    <row r="878" spans="1:26" hidden="1" outlineLevel="2">
      <c r="A878" s="19"/>
      <c r="B878" s="323"/>
      <c r="C878" s="207"/>
      <c r="D878" s="208"/>
      <c r="E878" s="133"/>
      <c r="F878" s="261"/>
      <c r="G878" s="138"/>
      <c r="H878" s="135"/>
      <c r="I878" s="206"/>
      <c r="J878" s="206"/>
      <c r="K878" s="206"/>
      <c r="L878" s="137"/>
      <c r="M878" s="163"/>
      <c r="N878" s="163"/>
      <c r="O878" s="163"/>
      <c r="P878" s="205"/>
      <c r="Q878" s="236">
        <f t="shared" si="376"/>
        <v>0</v>
      </c>
      <c r="R878" s="236">
        <f t="shared" si="377"/>
        <v>0</v>
      </c>
      <c r="S878" s="236"/>
      <c r="T878" s="236"/>
      <c r="U878" s="236">
        <f t="shared" si="378"/>
        <v>0</v>
      </c>
      <c r="V878" s="236"/>
      <c r="W878" s="232">
        <f t="shared" si="379"/>
        <v>0</v>
      </c>
      <c r="X878" s="236"/>
      <c r="Y878" s="236"/>
      <c r="Z878" s="236"/>
    </row>
    <row r="879" spans="1:26" hidden="1" outlineLevel="2">
      <c r="A879" s="19"/>
      <c r="B879" s="323"/>
      <c r="C879" s="207"/>
      <c r="D879" s="208"/>
      <c r="E879" s="133"/>
      <c r="F879" s="261"/>
      <c r="G879" s="138"/>
      <c r="H879" s="135"/>
      <c r="I879" s="206"/>
      <c r="J879" s="206"/>
      <c r="K879" s="206"/>
      <c r="L879" s="137"/>
      <c r="M879" s="163"/>
      <c r="N879" s="163"/>
      <c r="O879" s="163"/>
      <c r="P879" s="205"/>
      <c r="Q879" s="236">
        <f t="shared" si="376"/>
        <v>0</v>
      </c>
      <c r="R879" s="236">
        <f t="shared" si="377"/>
        <v>0</v>
      </c>
      <c r="S879" s="236"/>
      <c r="T879" s="236"/>
      <c r="U879" s="236">
        <f t="shared" si="378"/>
        <v>0</v>
      </c>
      <c r="V879" s="236"/>
      <c r="W879" s="232">
        <f t="shared" si="379"/>
        <v>0</v>
      </c>
      <c r="X879" s="236"/>
      <c r="Y879" s="236"/>
      <c r="Z879" s="236"/>
    </row>
    <row r="880" spans="1:26" hidden="1" outlineLevel="2">
      <c r="A880" s="160"/>
      <c r="B880" s="323"/>
      <c r="C880" s="207"/>
      <c r="D880" s="208"/>
      <c r="E880" s="133"/>
      <c r="F880" s="261"/>
      <c r="G880" s="138"/>
      <c r="H880" s="139"/>
      <c r="I880" s="206"/>
      <c r="J880" s="206"/>
      <c r="K880" s="206"/>
      <c r="L880" s="137"/>
      <c r="M880" s="74"/>
      <c r="N880" s="74"/>
      <c r="O880" s="234"/>
      <c r="P880" s="205"/>
      <c r="Q880" s="236">
        <f t="shared" si="376"/>
        <v>0</v>
      </c>
      <c r="R880" s="236">
        <f t="shared" si="377"/>
        <v>0</v>
      </c>
      <c r="S880" s="235"/>
      <c r="T880" s="235"/>
      <c r="U880" s="236">
        <f t="shared" si="378"/>
        <v>0</v>
      </c>
      <c r="V880" s="235"/>
      <c r="W880" s="232">
        <f t="shared" si="379"/>
        <v>0</v>
      </c>
      <c r="X880" s="235"/>
      <c r="Y880" s="235"/>
      <c r="Z880" s="235"/>
    </row>
    <row r="881" spans="1:26" hidden="1" outlineLevel="2">
      <c r="A881" s="160"/>
      <c r="B881" s="323"/>
      <c r="C881" s="207"/>
      <c r="D881" s="208"/>
      <c r="E881" s="133"/>
      <c r="F881" s="261"/>
      <c r="G881" s="138"/>
      <c r="H881" s="139"/>
      <c r="I881" s="206"/>
      <c r="J881" s="206"/>
      <c r="K881" s="206"/>
      <c r="L881" s="137"/>
      <c r="M881" s="74"/>
      <c r="N881" s="19"/>
      <c r="O881" s="234"/>
      <c r="P881" s="205"/>
      <c r="Q881" s="236">
        <f t="shared" si="376"/>
        <v>0</v>
      </c>
      <c r="R881" s="236">
        <f t="shared" si="377"/>
        <v>0</v>
      </c>
      <c r="S881" s="235"/>
      <c r="T881" s="235"/>
      <c r="U881" s="236">
        <f t="shared" si="378"/>
        <v>0</v>
      </c>
      <c r="V881" s="235"/>
      <c r="W881" s="232">
        <f t="shared" si="379"/>
        <v>0</v>
      </c>
      <c r="X881" s="235"/>
      <c r="Y881" s="235"/>
      <c r="Z881" s="235"/>
    </row>
    <row r="882" spans="1:26" hidden="1" outlineLevel="2">
      <c r="A882" s="160"/>
      <c r="B882" s="323"/>
      <c r="C882" s="207"/>
      <c r="D882" s="208"/>
      <c r="E882" s="133"/>
      <c r="F882" s="261"/>
      <c r="G882" s="138"/>
      <c r="H882" s="139"/>
      <c r="I882" s="206"/>
      <c r="J882" s="206"/>
      <c r="K882" s="206"/>
      <c r="L882" s="137"/>
      <c r="M882" s="74"/>
      <c r="N882" s="19"/>
      <c r="O882" s="234"/>
      <c r="P882" s="205"/>
      <c r="Q882" s="236">
        <f t="shared" si="376"/>
        <v>0</v>
      </c>
      <c r="R882" s="236">
        <f>SUM(S882:T882)</f>
        <v>0</v>
      </c>
      <c r="S882" s="235"/>
      <c r="T882" s="235"/>
      <c r="U882" s="236">
        <f t="shared" si="378"/>
        <v>0</v>
      </c>
      <c r="V882" s="235"/>
      <c r="W882" s="232">
        <f t="shared" si="379"/>
        <v>0</v>
      </c>
      <c r="X882" s="235"/>
      <c r="Y882" s="235"/>
      <c r="Z882" s="235"/>
    </row>
    <row r="883" spans="1:26" hidden="1" outlineLevel="2">
      <c r="A883" s="160"/>
      <c r="B883" s="74"/>
      <c r="C883" s="207"/>
      <c r="D883" s="208"/>
      <c r="E883" s="133"/>
      <c r="F883" s="261"/>
      <c r="G883" s="138"/>
      <c r="H883" s="139"/>
      <c r="I883" s="206"/>
      <c r="J883" s="206"/>
      <c r="K883" s="206"/>
      <c r="L883" s="137"/>
      <c r="M883" s="74"/>
      <c r="N883" s="19"/>
      <c r="O883" s="234"/>
      <c r="P883" s="205"/>
      <c r="Q883" s="235"/>
      <c r="R883" s="235"/>
      <c r="S883" s="235"/>
      <c r="T883" s="235"/>
      <c r="U883" s="235"/>
      <c r="V883" s="235"/>
      <c r="W883" s="235"/>
      <c r="X883" s="235"/>
      <c r="Y883" s="235"/>
      <c r="Z883" s="235"/>
    </row>
    <row r="884" spans="1:26" s="75" customFormat="1" outlineLevel="1" collapsed="1">
      <c r="A884" s="237"/>
      <c r="B884" s="238"/>
      <c r="C884" s="239"/>
      <c r="D884" s="240"/>
      <c r="E884" s="241"/>
      <c r="F884" s="264"/>
      <c r="G884" s="242"/>
      <c r="H884" s="243"/>
      <c r="I884" s="244"/>
      <c r="J884" s="244"/>
      <c r="K884" s="244"/>
      <c r="L884" s="150" t="str">
        <f>CONCATENATE(L885," ",N885,M885," ",L886," ",N886,M886," ",L887," ",N887,M887," ",L888," ",N888,M888," ",L889," ",N889,M889," ",L890," ",N890,M890," ",L891," ",N891,M891," ",L892," ",N892,M892," ",L893," ",N893,M893," ",L894," ",N894,M894," "," ",L895," ",N895,M895," ",L896," ",N896,M896," ",L897," ",N897,M897," ",L898," ",N898,M898," ",L899," ",N899,M899," ",L900," ",N900,M900)</f>
        <v xml:space="preserve">                                </v>
      </c>
      <c r="M884" s="243"/>
      <c r="N884" s="243"/>
      <c r="O884" s="287">
        <f>SUM(O893:O900)</f>
        <v>0</v>
      </c>
      <c r="P884" s="245"/>
      <c r="Q884" s="246">
        <f>SUM(Q893:Q900)</f>
        <v>0</v>
      </c>
      <c r="R884" s="246">
        <f t="shared" ref="R884:Y884" si="380">SUM(R893:R900)</f>
        <v>0</v>
      </c>
      <c r="S884" s="246">
        <f t="shared" si="380"/>
        <v>0</v>
      </c>
      <c r="T884" s="246">
        <f t="shared" si="380"/>
        <v>0</v>
      </c>
      <c r="U884" s="246">
        <f t="shared" si="380"/>
        <v>0</v>
      </c>
      <c r="V884" s="246">
        <f t="shared" si="380"/>
        <v>0</v>
      </c>
      <c r="W884" s="246">
        <f t="shared" si="380"/>
        <v>0</v>
      </c>
      <c r="X884" s="246">
        <f t="shared" si="380"/>
        <v>0</v>
      </c>
      <c r="Y884" s="246">
        <f t="shared" si="380"/>
        <v>0</v>
      </c>
      <c r="Z884" s="246">
        <f>SUM(Z893:Z900)</f>
        <v>0</v>
      </c>
    </row>
    <row r="885" spans="1:26" hidden="1" outlineLevel="2">
      <c r="A885" s="19"/>
      <c r="B885" s="323"/>
      <c r="C885" s="207"/>
      <c r="D885" s="208"/>
      <c r="E885" s="133"/>
      <c r="F885" s="261"/>
      <c r="G885" s="138"/>
      <c r="H885" s="135"/>
      <c r="I885" s="206"/>
      <c r="J885" s="206"/>
      <c r="K885" s="206"/>
      <c r="L885" s="137"/>
      <c r="M885" s="163"/>
      <c r="N885" s="163"/>
      <c r="O885" s="163"/>
      <c r="P885" s="205"/>
      <c r="Q885" s="236">
        <f>SUM(R885,U885)</f>
        <v>0</v>
      </c>
      <c r="R885" s="236">
        <f>SUM(S885:T885)</f>
        <v>0</v>
      </c>
      <c r="S885" s="236"/>
      <c r="T885" s="236"/>
      <c r="U885" s="236">
        <f>SUM(V885:Y885)</f>
        <v>0</v>
      </c>
      <c r="V885" s="236"/>
      <c r="W885" s="232">
        <f>V885*0.304</f>
        <v>0</v>
      </c>
      <c r="X885" s="236"/>
      <c r="Y885" s="236"/>
      <c r="Z885" s="236"/>
    </row>
    <row r="886" spans="1:26" hidden="1" outlineLevel="2">
      <c r="A886" s="19"/>
      <c r="B886" s="323"/>
      <c r="C886" s="207"/>
      <c r="D886" s="208"/>
      <c r="E886" s="133"/>
      <c r="F886" s="261"/>
      <c r="G886" s="138"/>
      <c r="H886" s="135"/>
      <c r="I886" s="206"/>
      <c r="J886" s="206"/>
      <c r="K886" s="206"/>
      <c r="L886" s="137"/>
      <c r="M886" s="163"/>
      <c r="N886" s="163"/>
      <c r="O886" s="163"/>
      <c r="P886" s="205"/>
      <c r="Q886" s="236">
        <f t="shared" ref="Q886:Q892" si="381">SUM(R886,U886)</f>
        <v>0</v>
      </c>
      <c r="R886" s="236">
        <f t="shared" ref="R886:R891" si="382">SUM(S886:T886)</f>
        <v>0</v>
      </c>
      <c r="S886" s="236"/>
      <c r="T886" s="236"/>
      <c r="U886" s="236">
        <f t="shared" ref="U886:U892" si="383">SUM(V886:Y886)</f>
        <v>0</v>
      </c>
      <c r="V886" s="236"/>
      <c r="W886" s="232">
        <f t="shared" ref="W886:W892" si="384">V886*0.304</f>
        <v>0</v>
      </c>
      <c r="X886" s="236"/>
      <c r="Y886" s="236"/>
      <c r="Z886" s="236"/>
    </row>
    <row r="887" spans="1:26" hidden="1" outlineLevel="2">
      <c r="A887" s="19"/>
      <c r="B887" s="323"/>
      <c r="C887" s="207"/>
      <c r="D887" s="208"/>
      <c r="E887" s="133"/>
      <c r="F887" s="261"/>
      <c r="G887" s="138"/>
      <c r="H887" s="135"/>
      <c r="I887" s="206"/>
      <c r="J887" s="206"/>
      <c r="K887" s="206"/>
      <c r="L887" s="137"/>
      <c r="M887" s="163"/>
      <c r="N887" s="163"/>
      <c r="O887" s="163"/>
      <c r="P887" s="205"/>
      <c r="Q887" s="236">
        <f t="shared" si="381"/>
        <v>0</v>
      </c>
      <c r="R887" s="236">
        <f t="shared" si="382"/>
        <v>0</v>
      </c>
      <c r="S887" s="236"/>
      <c r="T887" s="236"/>
      <c r="U887" s="236">
        <f t="shared" si="383"/>
        <v>0</v>
      </c>
      <c r="V887" s="236"/>
      <c r="W887" s="232">
        <f t="shared" si="384"/>
        <v>0</v>
      </c>
      <c r="X887" s="236"/>
      <c r="Y887" s="236"/>
      <c r="Z887" s="236"/>
    </row>
    <row r="888" spans="1:26" hidden="1" outlineLevel="2">
      <c r="A888" s="19"/>
      <c r="B888" s="323"/>
      <c r="C888" s="207"/>
      <c r="D888" s="208"/>
      <c r="E888" s="133"/>
      <c r="F888" s="261"/>
      <c r="G888" s="138"/>
      <c r="H888" s="135"/>
      <c r="I888" s="206"/>
      <c r="J888" s="206"/>
      <c r="K888" s="206"/>
      <c r="L888" s="137"/>
      <c r="M888" s="163"/>
      <c r="N888" s="163"/>
      <c r="O888" s="163"/>
      <c r="P888" s="205"/>
      <c r="Q888" s="236">
        <f t="shared" si="381"/>
        <v>0</v>
      </c>
      <c r="R888" s="236">
        <f t="shared" si="382"/>
        <v>0</v>
      </c>
      <c r="S888" s="236"/>
      <c r="T888" s="236"/>
      <c r="U888" s="236">
        <f t="shared" si="383"/>
        <v>0</v>
      </c>
      <c r="V888" s="236"/>
      <c r="W888" s="232">
        <f t="shared" si="384"/>
        <v>0</v>
      </c>
      <c r="X888" s="236"/>
      <c r="Y888" s="236"/>
      <c r="Z888" s="236"/>
    </row>
    <row r="889" spans="1:26" hidden="1" outlineLevel="2">
      <c r="A889" s="19"/>
      <c r="B889" s="323"/>
      <c r="C889" s="207"/>
      <c r="D889" s="208"/>
      <c r="E889" s="133"/>
      <c r="F889" s="261"/>
      <c r="G889" s="138"/>
      <c r="H889" s="135"/>
      <c r="I889" s="206"/>
      <c r="J889" s="206"/>
      <c r="K889" s="206"/>
      <c r="L889" s="137"/>
      <c r="M889" s="163"/>
      <c r="N889" s="163"/>
      <c r="O889" s="163"/>
      <c r="P889" s="205"/>
      <c r="Q889" s="236">
        <f t="shared" si="381"/>
        <v>0</v>
      </c>
      <c r="R889" s="236">
        <f t="shared" si="382"/>
        <v>0</v>
      </c>
      <c r="S889" s="236"/>
      <c r="T889" s="236"/>
      <c r="U889" s="236">
        <f t="shared" si="383"/>
        <v>0</v>
      </c>
      <c r="V889" s="236"/>
      <c r="W889" s="232">
        <f t="shared" si="384"/>
        <v>0</v>
      </c>
      <c r="X889" s="236"/>
      <c r="Y889" s="236"/>
      <c r="Z889" s="236"/>
    </row>
    <row r="890" spans="1:26" hidden="1" outlineLevel="2">
      <c r="A890" s="160"/>
      <c r="B890" s="323"/>
      <c r="C890" s="207"/>
      <c r="D890" s="208"/>
      <c r="E890" s="133"/>
      <c r="F890" s="261"/>
      <c r="G890" s="138"/>
      <c r="H890" s="139"/>
      <c r="I890" s="206"/>
      <c r="J890" s="206"/>
      <c r="K890" s="206"/>
      <c r="L890" s="137"/>
      <c r="M890" s="74"/>
      <c r="N890" s="74"/>
      <c r="O890" s="234"/>
      <c r="P890" s="205"/>
      <c r="Q890" s="236">
        <f t="shared" si="381"/>
        <v>0</v>
      </c>
      <c r="R890" s="236">
        <f t="shared" si="382"/>
        <v>0</v>
      </c>
      <c r="S890" s="235"/>
      <c r="T890" s="235"/>
      <c r="U890" s="236">
        <f t="shared" si="383"/>
        <v>0</v>
      </c>
      <c r="V890" s="235"/>
      <c r="W890" s="232">
        <f t="shared" si="384"/>
        <v>0</v>
      </c>
      <c r="X890" s="235"/>
      <c r="Y890" s="235"/>
      <c r="Z890" s="235"/>
    </row>
    <row r="891" spans="1:26" hidden="1" outlineLevel="2">
      <c r="A891" s="160"/>
      <c r="B891" s="323"/>
      <c r="C891" s="207"/>
      <c r="D891" s="208"/>
      <c r="E891" s="133"/>
      <c r="F891" s="261"/>
      <c r="G891" s="138"/>
      <c r="H891" s="139"/>
      <c r="I891" s="206"/>
      <c r="J891" s="206"/>
      <c r="K891" s="206"/>
      <c r="L891" s="137"/>
      <c r="M891" s="74"/>
      <c r="N891" s="19"/>
      <c r="O891" s="234"/>
      <c r="P891" s="205"/>
      <c r="Q891" s="236">
        <f t="shared" si="381"/>
        <v>0</v>
      </c>
      <c r="R891" s="236">
        <f t="shared" si="382"/>
        <v>0</v>
      </c>
      <c r="S891" s="235"/>
      <c r="T891" s="235"/>
      <c r="U891" s="236">
        <f t="shared" si="383"/>
        <v>0</v>
      </c>
      <c r="V891" s="235"/>
      <c r="W891" s="232">
        <f t="shared" si="384"/>
        <v>0</v>
      </c>
      <c r="X891" s="235"/>
      <c r="Y891" s="235"/>
      <c r="Z891" s="235"/>
    </row>
    <row r="892" spans="1:26" hidden="1" outlineLevel="2">
      <c r="A892" s="160"/>
      <c r="B892" s="323"/>
      <c r="C892" s="207"/>
      <c r="D892" s="208"/>
      <c r="E892" s="133"/>
      <c r="F892" s="261"/>
      <c r="G892" s="138"/>
      <c r="H892" s="139"/>
      <c r="I892" s="206"/>
      <c r="J892" s="206"/>
      <c r="K892" s="206"/>
      <c r="L892" s="137"/>
      <c r="M892" s="74"/>
      <c r="N892" s="19"/>
      <c r="O892" s="234"/>
      <c r="P892" s="205"/>
      <c r="Q892" s="236">
        <f t="shared" si="381"/>
        <v>0</v>
      </c>
      <c r="R892" s="236">
        <f>SUM(S892:T892)</f>
        <v>0</v>
      </c>
      <c r="S892" s="235"/>
      <c r="T892" s="235"/>
      <c r="U892" s="236">
        <f t="shared" si="383"/>
        <v>0</v>
      </c>
      <c r="V892" s="235"/>
      <c r="W892" s="232">
        <f t="shared" si="384"/>
        <v>0</v>
      </c>
      <c r="X892" s="235"/>
      <c r="Y892" s="235"/>
      <c r="Z892" s="235"/>
    </row>
    <row r="893" spans="1:26" hidden="1" outlineLevel="2">
      <c r="A893" s="19"/>
      <c r="B893" s="323"/>
      <c r="C893" s="207"/>
      <c r="D893" s="208"/>
      <c r="E893" s="133"/>
      <c r="F893" s="261"/>
      <c r="G893" s="138"/>
      <c r="H893" s="135"/>
      <c r="I893" s="206"/>
      <c r="J893" s="206"/>
      <c r="K893" s="206"/>
      <c r="L893" s="137"/>
      <c r="M893" s="163"/>
      <c r="N893" s="163"/>
      <c r="O893" s="163"/>
      <c r="P893" s="205"/>
      <c r="Q893" s="236">
        <f>SUM(R893,U893)</f>
        <v>0</v>
      </c>
      <c r="R893" s="236">
        <f>SUM(S893:T893)</f>
        <v>0</v>
      </c>
      <c r="S893" s="236"/>
      <c r="T893" s="236"/>
      <c r="U893" s="236">
        <f>SUM(V893:Y893)</f>
        <v>0</v>
      </c>
      <c r="V893" s="236"/>
      <c r="W893" s="232">
        <f>V893*0.304</f>
        <v>0</v>
      </c>
      <c r="X893" s="236"/>
      <c r="Y893" s="236"/>
      <c r="Z893" s="236"/>
    </row>
    <row r="894" spans="1:26" hidden="1" outlineLevel="2">
      <c r="A894" s="19"/>
      <c r="B894" s="323"/>
      <c r="C894" s="207"/>
      <c r="D894" s="208"/>
      <c r="E894" s="133"/>
      <c r="F894" s="261"/>
      <c r="G894" s="138"/>
      <c r="H894" s="135"/>
      <c r="I894" s="206"/>
      <c r="J894" s="206"/>
      <c r="K894" s="206"/>
      <c r="L894" s="137"/>
      <c r="M894" s="163"/>
      <c r="N894" s="163"/>
      <c r="O894" s="163"/>
      <c r="P894" s="205"/>
      <c r="Q894" s="236">
        <f t="shared" ref="Q894:Q900" si="385">SUM(R894,U894)</f>
        <v>0</v>
      </c>
      <c r="R894" s="236">
        <f t="shared" ref="R894:R899" si="386">SUM(S894:T894)</f>
        <v>0</v>
      </c>
      <c r="S894" s="236"/>
      <c r="T894" s="236"/>
      <c r="U894" s="236">
        <f t="shared" ref="U894:U900" si="387">SUM(V894:Y894)</f>
        <v>0</v>
      </c>
      <c r="V894" s="236"/>
      <c r="W894" s="232">
        <f t="shared" ref="W894:W900" si="388">V894*0.304</f>
        <v>0</v>
      </c>
      <c r="X894" s="236"/>
      <c r="Y894" s="236"/>
      <c r="Z894" s="236"/>
    </row>
    <row r="895" spans="1:26" hidden="1" outlineLevel="2">
      <c r="A895" s="19"/>
      <c r="B895" s="323"/>
      <c r="C895" s="207"/>
      <c r="D895" s="208"/>
      <c r="E895" s="133"/>
      <c r="F895" s="261"/>
      <c r="G895" s="138"/>
      <c r="H895" s="135"/>
      <c r="I895" s="206"/>
      <c r="J895" s="206"/>
      <c r="K895" s="206"/>
      <c r="L895" s="137"/>
      <c r="M895" s="163"/>
      <c r="N895" s="163"/>
      <c r="O895" s="163"/>
      <c r="P895" s="205"/>
      <c r="Q895" s="236">
        <f t="shared" si="385"/>
        <v>0</v>
      </c>
      <c r="R895" s="236">
        <f t="shared" si="386"/>
        <v>0</v>
      </c>
      <c r="S895" s="236"/>
      <c r="T895" s="236"/>
      <c r="U895" s="236">
        <f t="shared" si="387"/>
        <v>0</v>
      </c>
      <c r="V895" s="236"/>
      <c r="W895" s="232">
        <f t="shared" si="388"/>
        <v>0</v>
      </c>
      <c r="X895" s="236"/>
      <c r="Y895" s="236"/>
      <c r="Z895" s="236"/>
    </row>
    <row r="896" spans="1:26" hidden="1" outlineLevel="2">
      <c r="A896" s="19"/>
      <c r="B896" s="323"/>
      <c r="C896" s="207"/>
      <c r="D896" s="208"/>
      <c r="E896" s="133"/>
      <c r="F896" s="261"/>
      <c r="G896" s="138"/>
      <c r="H896" s="135"/>
      <c r="I896" s="206"/>
      <c r="J896" s="206"/>
      <c r="K896" s="206"/>
      <c r="L896" s="137"/>
      <c r="M896" s="163"/>
      <c r="N896" s="163"/>
      <c r="O896" s="163"/>
      <c r="P896" s="205"/>
      <c r="Q896" s="236">
        <f t="shared" si="385"/>
        <v>0</v>
      </c>
      <c r="R896" s="236">
        <f t="shared" si="386"/>
        <v>0</v>
      </c>
      <c r="S896" s="236"/>
      <c r="T896" s="236"/>
      <c r="U896" s="236">
        <f t="shared" si="387"/>
        <v>0</v>
      </c>
      <c r="V896" s="236"/>
      <c r="W896" s="232">
        <f t="shared" si="388"/>
        <v>0</v>
      </c>
      <c r="X896" s="236"/>
      <c r="Y896" s="236"/>
      <c r="Z896" s="236"/>
    </row>
    <row r="897" spans="1:26" hidden="1" outlineLevel="2">
      <c r="A897" s="19"/>
      <c r="B897" s="323"/>
      <c r="C897" s="207"/>
      <c r="D897" s="208"/>
      <c r="E897" s="133"/>
      <c r="F897" s="261"/>
      <c r="G897" s="138"/>
      <c r="H897" s="135"/>
      <c r="I897" s="206"/>
      <c r="J897" s="206"/>
      <c r="K897" s="206"/>
      <c r="L897" s="137"/>
      <c r="M897" s="163"/>
      <c r="N897" s="163"/>
      <c r="O897" s="163"/>
      <c r="P897" s="205"/>
      <c r="Q897" s="236">
        <f t="shared" si="385"/>
        <v>0</v>
      </c>
      <c r="R897" s="236">
        <f t="shared" si="386"/>
        <v>0</v>
      </c>
      <c r="S897" s="236"/>
      <c r="T897" s="236"/>
      <c r="U897" s="236">
        <f t="shared" si="387"/>
        <v>0</v>
      </c>
      <c r="V897" s="236"/>
      <c r="W897" s="232">
        <f t="shared" si="388"/>
        <v>0</v>
      </c>
      <c r="X897" s="236"/>
      <c r="Y897" s="236"/>
      <c r="Z897" s="236"/>
    </row>
    <row r="898" spans="1:26" hidden="1" outlineLevel="2">
      <c r="A898" s="160"/>
      <c r="B898" s="323"/>
      <c r="C898" s="207"/>
      <c r="D898" s="208"/>
      <c r="E898" s="133"/>
      <c r="F898" s="261"/>
      <c r="G898" s="138"/>
      <c r="H898" s="139"/>
      <c r="I898" s="206"/>
      <c r="J898" s="206"/>
      <c r="K898" s="206"/>
      <c r="L898" s="137"/>
      <c r="M898" s="74"/>
      <c r="N898" s="74"/>
      <c r="O898" s="234"/>
      <c r="P898" s="205"/>
      <c r="Q898" s="236">
        <f t="shared" si="385"/>
        <v>0</v>
      </c>
      <c r="R898" s="236">
        <f t="shared" si="386"/>
        <v>0</v>
      </c>
      <c r="S898" s="235"/>
      <c r="T898" s="235"/>
      <c r="U898" s="236">
        <f t="shared" si="387"/>
        <v>0</v>
      </c>
      <c r="V898" s="235"/>
      <c r="W898" s="232">
        <f t="shared" si="388"/>
        <v>0</v>
      </c>
      <c r="X898" s="235"/>
      <c r="Y898" s="235"/>
      <c r="Z898" s="235"/>
    </row>
    <row r="899" spans="1:26" hidden="1" outlineLevel="2">
      <c r="A899" s="160"/>
      <c r="B899" s="323"/>
      <c r="C899" s="207"/>
      <c r="D899" s="208"/>
      <c r="E899" s="133"/>
      <c r="F899" s="261"/>
      <c r="G899" s="138"/>
      <c r="H899" s="139"/>
      <c r="I899" s="206"/>
      <c r="J899" s="206"/>
      <c r="K899" s="206"/>
      <c r="L899" s="137"/>
      <c r="M899" s="74"/>
      <c r="N899" s="19"/>
      <c r="O899" s="234"/>
      <c r="P899" s="205"/>
      <c r="Q899" s="236">
        <f t="shared" si="385"/>
        <v>0</v>
      </c>
      <c r="R899" s="236">
        <f t="shared" si="386"/>
        <v>0</v>
      </c>
      <c r="S899" s="235"/>
      <c r="T899" s="235"/>
      <c r="U899" s="236">
        <f t="shared" si="387"/>
        <v>0</v>
      </c>
      <c r="V899" s="235"/>
      <c r="W899" s="232">
        <f t="shared" si="388"/>
        <v>0</v>
      </c>
      <c r="X899" s="235"/>
      <c r="Y899" s="235"/>
      <c r="Z899" s="235"/>
    </row>
    <row r="900" spans="1:26" hidden="1" outlineLevel="2">
      <c r="A900" s="160"/>
      <c r="B900" s="323"/>
      <c r="C900" s="207"/>
      <c r="D900" s="208"/>
      <c r="E900" s="133"/>
      <c r="F900" s="261"/>
      <c r="G900" s="138"/>
      <c r="H900" s="139"/>
      <c r="I900" s="206"/>
      <c r="J900" s="206"/>
      <c r="K900" s="206"/>
      <c r="L900" s="137"/>
      <c r="M900" s="74"/>
      <c r="N900" s="19"/>
      <c r="O900" s="234"/>
      <c r="P900" s="205"/>
      <c r="Q900" s="236">
        <f t="shared" si="385"/>
        <v>0</v>
      </c>
      <c r="R900" s="236">
        <f>SUM(S900:T900)</f>
        <v>0</v>
      </c>
      <c r="S900" s="235"/>
      <c r="T900" s="235"/>
      <c r="U900" s="236">
        <f t="shared" si="387"/>
        <v>0</v>
      </c>
      <c r="V900" s="235"/>
      <c r="W900" s="232">
        <f t="shared" si="388"/>
        <v>0</v>
      </c>
      <c r="X900" s="235"/>
      <c r="Y900" s="235"/>
      <c r="Z900" s="235"/>
    </row>
    <row r="901" spans="1:26" hidden="1" outlineLevel="2">
      <c r="A901" s="160"/>
      <c r="B901" s="74"/>
      <c r="C901" s="207"/>
      <c r="D901" s="208"/>
      <c r="E901" s="133"/>
      <c r="F901" s="261"/>
      <c r="G901" s="138"/>
      <c r="H901" s="139"/>
      <c r="I901" s="206"/>
      <c r="J901" s="206"/>
      <c r="K901" s="206"/>
      <c r="L901" s="137"/>
      <c r="M901" s="74"/>
      <c r="N901" s="19"/>
      <c r="O901" s="234"/>
      <c r="P901" s="205"/>
      <c r="Q901" s="235"/>
      <c r="R901" s="235"/>
      <c r="S901" s="235"/>
      <c r="T901" s="235"/>
      <c r="U901" s="235"/>
      <c r="V901" s="235"/>
      <c r="W901" s="235"/>
      <c r="X901" s="235"/>
      <c r="Y901" s="235"/>
      <c r="Z901" s="235"/>
    </row>
    <row r="902" spans="1:26" s="75" customFormat="1" outlineLevel="1" collapsed="1">
      <c r="A902" s="237"/>
      <c r="B902" s="238"/>
      <c r="C902" s="239"/>
      <c r="D902" s="240"/>
      <c r="E902" s="241"/>
      <c r="F902" s="264"/>
      <c r="G902" s="242"/>
      <c r="H902" s="243"/>
      <c r="I902" s="244"/>
      <c r="J902" s="244"/>
      <c r="K902" s="244"/>
      <c r="L902" s="150" t="str">
        <f>CONCATENATE(L903," ",N903,M903," ",L904," ",N904,M904," ",L905," ",N905,M905," ",L906," ",N906,M906," ",L907," ",N907,M907," ",L908," ",N908,M908," ",L909," ",N909,M909," ",L910," ",N910,M910," ",L911," ",N911,M911," ",L912," ",N912,M912," "," ",L913," ",N913,M913," ",L914," ",N914,M914," ",L915," ",N915,M915," ",L916," ",N916,M916," ",L917," ",N917,M917," ",L918," ",N918,M918)</f>
        <v xml:space="preserve">                                </v>
      </c>
      <c r="M902" s="243"/>
      <c r="N902" s="243"/>
      <c r="O902" s="287">
        <f>SUM(O911:O918)</f>
        <v>0</v>
      </c>
      <c r="P902" s="245"/>
      <c r="Q902" s="246">
        <f>SUM(Q911:Q918)</f>
        <v>0</v>
      </c>
      <c r="R902" s="246">
        <f t="shared" ref="R902:Y902" si="389">SUM(R911:R918)</f>
        <v>0</v>
      </c>
      <c r="S902" s="246">
        <f t="shared" si="389"/>
        <v>0</v>
      </c>
      <c r="T902" s="246">
        <f t="shared" si="389"/>
        <v>0</v>
      </c>
      <c r="U902" s="246">
        <f t="shared" si="389"/>
        <v>0</v>
      </c>
      <c r="V902" s="246">
        <f t="shared" si="389"/>
        <v>0</v>
      </c>
      <c r="W902" s="246">
        <f t="shared" si="389"/>
        <v>0</v>
      </c>
      <c r="X902" s="246">
        <f t="shared" si="389"/>
        <v>0</v>
      </c>
      <c r="Y902" s="246">
        <f t="shared" si="389"/>
        <v>0</v>
      </c>
      <c r="Z902" s="246">
        <f>SUM(Z911:Z918)</f>
        <v>0</v>
      </c>
    </row>
    <row r="903" spans="1:26" hidden="1" outlineLevel="2">
      <c r="A903" s="19"/>
      <c r="B903" s="323"/>
      <c r="C903" s="207"/>
      <c r="D903" s="208"/>
      <c r="E903" s="133"/>
      <c r="F903" s="261"/>
      <c r="G903" s="138"/>
      <c r="H903" s="135"/>
      <c r="I903" s="206"/>
      <c r="J903" s="206"/>
      <c r="K903" s="206"/>
      <c r="L903" s="137"/>
      <c r="M903" s="163"/>
      <c r="N903" s="163"/>
      <c r="O903" s="163"/>
      <c r="P903" s="205"/>
      <c r="Q903" s="236">
        <f>SUM(R903,U903)</f>
        <v>0</v>
      </c>
      <c r="R903" s="236">
        <f>SUM(S903:T903)</f>
        <v>0</v>
      </c>
      <c r="S903" s="236"/>
      <c r="T903" s="236"/>
      <c r="U903" s="236">
        <f>SUM(V903:Y903)</f>
        <v>0</v>
      </c>
      <c r="V903" s="236"/>
      <c r="W903" s="232">
        <f>V903*0.304</f>
        <v>0</v>
      </c>
      <c r="X903" s="236"/>
      <c r="Y903" s="236"/>
      <c r="Z903" s="236"/>
    </row>
    <row r="904" spans="1:26" hidden="1" outlineLevel="2">
      <c r="A904" s="19"/>
      <c r="B904" s="323"/>
      <c r="C904" s="207"/>
      <c r="D904" s="208"/>
      <c r="E904" s="133"/>
      <c r="F904" s="261"/>
      <c r="G904" s="138"/>
      <c r="H904" s="135"/>
      <c r="I904" s="206"/>
      <c r="J904" s="206"/>
      <c r="K904" s="206"/>
      <c r="L904" s="137"/>
      <c r="M904" s="163"/>
      <c r="N904" s="163"/>
      <c r="O904" s="163"/>
      <c r="P904" s="205"/>
      <c r="Q904" s="236">
        <f t="shared" ref="Q904:Q910" si="390">SUM(R904,U904)</f>
        <v>0</v>
      </c>
      <c r="R904" s="236">
        <f t="shared" ref="R904:R909" si="391">SUM(S904:T904)</f>
        <v>0</v>
      </c>
      <c r="S904" s="236"/>
      <c r="T904" s="236"/>
      <c r="U904" s="236">
        <f t="shared" ref="U904:U910" si="392">SUM(V904:Y904)</f>
        <v>0</v>
      </c>
      <c r="V904" s="236"/>
      <c r="W904" s="232">
        <f t="shared" ref="W904:W910" si="393">V904*0.304</f>
        <v>0</v>
      </c>
      <c r="X904" s="236"/>
      <c r="Y904" s="236"/>
      <c r="Z904" s="236"/>
    </row>
    <row r="905" spans="1:26" hidden="1" outlineLevel="2">
      <c r="A905" s="19"/>
      <c r="B905" s="323"/>
      <c r="C905" s="207"/>
      <c r="D905" s="208"/>
      <c r="E905" s="133"/>
      <c r="F905" s="261"/>
      <c r="G905" s="138"/>
      <c r="H905" s="135"/>
      <c r="I905" s="206"/>
      <c r="J905" s="206"/>
      <c r="K905" s="206"/>
      <c r="L905" s="137"/>
      <c r="M905" s="163"/>
      <c r="N905" s="163"/>
      <c r="O905" s="163"/>
      <c r="P905" s="205"/>
      <c r="Q905" s="236">
        <f t="shared" si="390"/>
        <v>0</v>
      </c>
      <c r="R905" s="236">
        <f t="shared" si="391"/>
        <v>0</v>
      </c>
      <c r="S905" s="236"/>
      <c r="T905" s="236"/>
      <c r="U905" s="236">
        <f t="shared" si="392"/>
        <v>0</v>
      </c>
      <c r="V905" s="236"/>
      <c r="W905" s="232">
        <f t="shared" si="393"/>
        <v>0</v>
      </c>
      <c r="X905" s="236"/>
      <c r="Y905" s="236"/>
      <c r="Z905" s="236"/>
    </row>
    <row r="906" spans="1:26" hidden="1" outlineLevel="2">
      <c r="A906" s="19"/>
      <c r="B906" s="323"/>
      <c r="C906" s="207"/>
      <c r="D906" s="208"/>
      <c r="E906" s="133"/>
      <c r="F906" s="261"/>
      <c r="G906" s="138"/>
      <c r="H906" s="135"/>
      <c r="I906" s="206"/>
      <c r="J906" s="206"/>
      <c r="K906" s="206"/>
      <c r="L906" s="137"/>
      <c r="M906" s="163"/>
      <c r="N906" s="163"/>
      <c r="O906" s="163"/>
      <c r="P906" s="205"/>
      <c r="Q906" s="236">
        <f t="shared" si="390"/>
        <v>0</v>
      </c>
      <c r="R906" s="236">
        <f t="shared" si="391"/>
        <v>0</v>
      </c>
      <c r="S906" s="236"/>
      <c r="T906" s="236"/>
      <c r="U906" s="236">
        <f t="shared" si="392"/>
        <v>0</v>
      </c>
      <c r="V906" s="236"/>
      <c r="W906" s="232">
        <f t="shared" si="393"/>
        <v>0</v>
      </c>
      <c r="X906" s="236"/>
      <c r="Y906" s="236"/>
      <c r="Z906" s="236"/>
    </row>
    <row r="907" spans="1:26" hidden="1" outlineLevel="2">
      <c r="A907" s="19"/>
      <c r="B907" s="323"/>
      <c r="C907" s="207"/>
      <c r="D907" s="208"/>
      <c r="E907" s="133"/>
      <c r="F907" s="261"/>
      <c r="G907" s="138"/>
      <c r="H907" s="135"/>
      <c r="I907" s="206"/>
      <c r="J907" s="206"/>
      <c r="K907" s="206"/>
      <c r="L907" s="137"/>
      <c r="M907" s="163"/>
      <c r="N907" s="163"/>
      <c r="O907" s="163"/>
      <c r="P907" s="205"/>
      <c r="Q907" s="236">
        <f t="shared" si="390"/>
        <v>0</v>
      </c>
      <c r="R907" s="236">
        <f t="shared" si="391"/>
        <v>0</v>
      </c>
      <c r="S907" s="236"/>
      <c r="T907" s="236"/>
      <c r="U907" s="236">
        <f t="shared" si="392"/>
        <v>0</v>
      </c>
      <c r="V907" s="236"/>
      <c r="W907" s="232">
        <f t="shared" si="393"/>
        <v>0</v>
      </c>
      <c r="X907" s="236"/>
      <c r="Y907" s="236"/>
      <c r="Z907" s="236"/>
    </row>
    <row r="908" spans="1:26" hidden="1" outlineLevel="2">
      <c r="A908" s="160"/>
      <c r="B908" s="323"/>
      <c r="C908" s="207"/>
      <c r="D908" s="208"/>
      <c r="E908" s="133"/>
      <c r="F908" s="261"/>
      <c r="G908" s="138"/>
      <c r="H908" s="139"/>
      <c r="I908" s="206"/>
      <c r="J908" s="206"/>
      <c r="K908" s="206"/>
      <c r="L908" s="137"/>
      <c r="M908" s="74"/>
      <c r="N908" s="74"/>
      <c r="O908" s="234"/>
      <c r="P908" s="205"/>
      <c r="Q908" s="236">
        <f t="shared" si="390"/>
        <v>0</v>
      </c>
      <c r="R908" s="236">
        <f t="shared" si="391"/>
        <v>0</v>
      </c>
      <c r="S908" s="235"/>
      <c r="T908" s="235"/>
      <c r="U908" s="236">
        <f t="shared" si="392"/>
        <v>0</v>
      </c>
      <c r="V908" s="235"/>
      <c r="W908" s="232">
        <f t="shared" si="393"/>
        <v>0</v>
      </c>
      <c r="X908" s="235"/>
      <c r="Y908" s="235"/>
      <c r="Z908" s="235"/>
    </row>
    <row r="909" spans="1:26" hidden="1" outlineLevel="2">
      <c r="A909" s="160"/>
      <c r="B909" s="323"/>
      <c r="C909" s="207"/>
      <c r="D909" s="208"/>
      <c r="E909" s="133"/>
      <c r="F909" s="261"/>
      <c r="G909" s="138"/>
      <c r="H909" s="139"/>
      <c r="I909" s="206"/>
      <c r="J909" s="206"/>
      <c r="K909" s="206"/>
      <c r="L909" s="137"/>
      <c r="M909" s="74"/>
      <c r="N909" s="19"/>
      <c r="O909" s="234"/>
      <c r="P909" s="205"/>
      <c r="Q909" s="236">
        <f t="shared" si="390"/>
        <v>0</v>
      </c>
      <c r="R909" s="236">
        <f t="shared" si="391"/>
        <v>0</v>
      </c>
      <c r="S909" s="235"/>
      <c r="T909" s="235"/>
      <c r="U909" s="236">
        <f t="shared" si="392"/>
        <v>0</v>
      </c>
      <c r="V909" s="235"/>
      <c r="W909" s="232">
        <f t="shared" si="393"/>
        <v>0</v>
      </c>
      <c r="X909" s="235"/>
      <c r="Y909" s="235"/>
      <c r="Z909" s="235"/>
    </row>
    <row r="910" spans="1:26" hidden="1" outlineLevel="2">
      <c r="A910" s="160"/>
      <c r="B910" s="323"/>
      <c r="C910" s="207"/>
      <c r="D910" s="208"/>
      <c r="E910" s="133"/>
      <c r="F910" s="261"/>
      <c r="G910" s="138"/>
      <c r="H910" s="139"/>
      <c r="I910" s="206"/>
      <c r="J910" s="206"/>
      <c r="K910" s="206"/>
      <c r="L910" s="137"/>
      <c r="M910" s="74"/>
      <c r="N910" s="19"/>
      <c r="O910" s="234"/>
      <c r="P910" s="205"/>
      <c r="Q910" s="236">
        <f t="shared" si="390"/>
        <v>0</v>
      </c>
      <c r="R910" s="236">
        <f>SUM(S910:T910)</f>
        <v>0</v>
      </c>
      <c r="S910" s="235"/>
      <c r="T910" s="235"/>
      <c r="U910" s="236">
        <f t="shared" si="392"/>
        <v>0</v>
      </c>
      <c r="V910" s="235"/>
      <c r="W910" s="232">
        <f t="shared" si="393"/>
        <v>0</v>
      </c>
      <c r="X910" s="235"/>
      <c r="Y910" s="235"/>
      <c r="Z910" s="235"/>
    </row>
    <row r="911" spans="1:26" hidden="1" outlineLevel="2">
      <c r="A911" s="19"/>
      <c r="B911" s="323"/>
      <c r="C911" s="207"/>
      <c r="D911" s="208"/>
      <c r="E911" s="133"/>
      <c r="F911" s="261"/>
      <c r="G911" s="138"/>
      <c r="H911" s="135"/>
      <c r="I911" s="206"/>
      <c r="J911" s="206"/>
      <c r="K911" s="206"/>
      <c r="L911" s="137"/>
      <c r="M911" s="163"/>
      <c r="N911" s="163"/>
      <c r="O911" s="163"/>
      <c r="P911" s="205"/>
      <c r="Q911" s="236">
        <f>SUM(R911,U911)</f>
        <v>0</v>
      </c>
      <c r="R911" s="236">
        <f>SUM(S911:T911)</f>
        <v>0</v>
      </c>
      <c r="S911" s="236"/>
      <c r="T911" s="236"/>
      <c r="U911" s="236">
        <f>SUM(V911:Y911)</f>
        <v>0</v>
      </c>
      <c r="V911" s="236"/>
      <c r="W911" s="232">
        <f>V911*0.304</f>
        <v>0</v>
      </c>
      <c r="X911" s="236"/>
      <c r="Y911" s="236"/>
      <c r="Z911" s="236"/>
    </row>
    <row r="912" spans="1:26" hidden="1" outlineLevel="2">
      <c r="A912" s="19"/>
      <c r="B912" s="323"/>
      <c r="C912" s="207"/>
      <c r="D912" s="208"/>
      <c r="E912" s="133"/>
      <c r="F912" s="261"/>
      <c r="G912" s="138"/>
      <c r="H912" s="135"/>
      <c r="I912" s="206"/>
      <c r="J912" s="206"/>
      <c r="K912" s="206"/>
      <c r="L912" s="137"/>
      <c r="M912" s="163"/>
      <c r="N912" s="163"/>
      <c r="O912" s="163"/>
      <c r="P912" s="205"/>
      <c r="Q912" s="236">
        <f t="shared" ref="Q912:Q918" si="394">SUM(R912,U912)</f>
        <v>0</v>
      </c>
      <c r="R912" s="236">
        <f t="shared" ref="R912:R917" si="395">SUM(S912:T912)</f>
        <v>0</v>
      </c>
      <c r="S912" s="236"/>
      <c r="T912" s="236"/>
      <c r="U912" s="236">
        <f t="shared" ref="U912:U918" si="396">SUM(V912:Y912)</f>
        <v>0</v>
      </c>
      <c r="V912" s="236"/>
      <c r="W912" s="232">
        <f t="shared" ref="W912:W918" si="397">V912*0.304</f>
        <v>0</v>
      </c>
      <c r="X912" s="236"/>
      <c r="Y912" s="236"/>
      <c r="Z912" s="236"/>
    </row>
    <row r="913" spans="1:26" hidden="1" outlineLevel="2">
      <c r="A913" s="19"/>
      <c r="B913" s="323"/>
      <c r="C913" s="207"/>
      <c r="D913" s="208"/>
      <c r="E913" s="133"/>
      <c r="F913" s="261"/>
      <c r="G913" s="138"/>
      <c r="H913" s="135"/>
      <c r="I913" s="206"/>
      <c r="J913" s="206"/>
      <c r="K913" s="206"/>
      <c r="L913" s="137"/>
      <c r="M913" s="163"/>
      <c r="N913" s="163"/>
      <c r="O913" s="163"/>
      <c r="P913" s="205"/>
      <c r="Q913" s="236">
        <f t="shared" si="394"/>
        <v>0</v>
      </c>
      <c r="R913" s="236">
        <f t="shared" si="395"/>
        <v>0</v>
      </c>
      <c r="S913" s="236"/>
      <c r="T913" s="236"/>
      <c r="U913" s="236">
        <f t="shared" si="396"/>
        <v>0</v>
      </c>
      <c r="V913" s="236"/>
      <c r="W913" s="232">
        <f t="shared" si="397"/>
        <v>0</v>
      </c>
      <c r="X913" s="236"/>
      <c r="Y913" s="236"/>
      <c r="Z913" s="236"/>
    </row>
    <row r="914" spans="1:26" hidden="1" outlineLevel="2">
      <c r="A914" s="19"/>
      <c r="B914" s="323"/>
      <c r="C914" s="207"/>
      <c r="D914" s="208"/>
      <c r="E914" s="133"/>
      <c r="F914" s="261"/>
      <c r="G914" s="138"/>
      <c r="H914" s="135"/>
      <c r="I914" s="206"/>
      <c r="J914" s="206"/>
      <c r="K914" s="206"/>
      <c r="L914" s="137"/>
      <c r="M914" s="163"/>
      <c r="N914" s="163"/>
      <c r="O914" s="163"/>
      <c r="P914" s="205"/>
      <c r="Q914" s="236">
        <f t="shared" si="394"/>
        <v>0</v>
      </c>
      <c r="R914" s="236">
        <f t="shared" si="395"/>
        <v>0</v>
      </c>
      <c r="S914" s="236"/>
      <c r="T914" s="236"/>
      <c r="U914" s="236">
        <f t="shared" si="396"/>
        <v>0</v>
      </c>
      <c r="V914" s="236"/>
      <c r="W914" s="232">
        <f t="shared" si="397"/>
        <v>0</v>
      </c>
      <c r="X914" s="236"/>
      <c r="Y914" s="236"/>
      <c r="Z914" s="236"/>
    </row>
    <row r="915" spans="1:26" hidden="1" outlineLevel="2">
      <c r="A915" s="19"/>
      <c r="B915" s="323"/>
      <c r="C915" s="207"/>
      <c r="D915" s="208"/>
      <c r="E915" s="133"/>
      <c r="F915" s="261"/>
      <c r="G915" s="138"/>
      <c r="H915" s="135"/>
      <c r="I915" s="206"/>
      <c r="J915" s="206"/>
      <c r="K915" s="206"/>
      <c r="L915" s="137"/>
      <c r="M915" s="163"/>
      <c r="N915" s="163"/>
      <c r="O915" s="163"/>
      <c r="P915" s="205"/>
      <c r="Q915" s="236">
        <f t="shared" si="394"/>
        <v>0</v>
      </c>
      <c r="R915" s="236">
        <f t="shared" si="395"/>
        <v>0</v>
      </c>
      <c r="S915" s="236"/>
      <c r="T915" s="236"/>
      <c r="U915" s="236">
        <f t="shared" si="396"/>
        <v>0</v>
      </c>
      <c r="V915" s="236"/>
      <c r="W915" s="232">
        <f t="shared" si="397"/>
        <v>0</v>
      </c>
      <c r="X915" s="236"/>
      <c r="Y915" s="236"/>
      <c r="Z915" s="236"/>
    </row>
    <row r="916" spans="1:26" hidden="1" outlineLevel="2">
      <c r="A916" s="160"/>
      <c r="B916" s="323"/>
      <c r="C916" s="207"/>
      <c r="D916" s="208"/>
      <c r="E916" s="133"/>
      <c r="F916" s="261"/>
      <c r="G916" s="138"/>
      <c r="H916" s="139"/>
      <c r="I916" s="206"/>
      <c r="J916" s="206"/>
      <c r="K916" s="206"/>
      <c r="L916" s="137"/>
      <c r="M916" s="74"/>
      <c r="N916" s="74"/>
      <c r="O916" s="234"/>
      <c r="P916" s="205"/>
      <c r="Q916" s="236">
        <f t="shared" si="394"/>
        <v>0</v>
      </c>
      <c r="R916" s="236">
        <f t="shared" si="395"/>
        <v>0</v>
      </c>
      <c r="S916" s="235"/>
      <c r="T916" s="235"/>
      <c r="U916" s="236">
        <f t="shared" si="396"/>
        <v>0</v>
      </c>
      <c r="V916" s="235"/>
      <c r="W916" s="232">
        <f t="shared" si="397"/>
        <v>0</v>
      </c>
      <c r="X916" s="235"/>
      <c r="Y916" s="235"/>
      <c r="Z916" s="235"/>
    </row>
    <row r="917" spans="1:26" hidden="1" outlineLevel="2">
      <c r="A917" s="160"/>
      <c r="B917" s="323"/>
      <c r="C917" s="207"/>
      <c r="D917" s="208"/>
      <c r="E917" s="133"/>
      <c r="F917" s="261"/>
      <c r="G917" s="138"/>
      <c r="H917" s="139"/>
      <c r="I917" s="206"/>
      <c r="J917" s="206"/>
      <c r="K917" s="206"/>
      <c r="L917" s="137"/>
      <c r="M917" s="74"/>
      <c r="N917" s="19"/>
      <c r="O917" s="234"/>
      <c r="P917" s="205"/>
      <c r="Q917" s="236">
        <f t="shared" si="394"/>
        <v>0</v>
      </c>
      <c r="R917" s="236">
        <f t="shared" si="395"/>
        <v>0</v>
      </c>
      <c r="S917" s="235"/>
      <c r="T917" s="235"/>
      <c r="U917" s="236">
        <f t="shared" si="396"/>
        <v>0</v>
      </c>
      <c r="V917" s="235"/>
      <c r="W917" s="232">
        <f t="shared" si="397"/>
        <v>0</v>
      </c>
      <c r="X917" s="235"/>
      <c r="Y917" s="235"/>
      <c r="Z917" s="235"/>
    </row>
    <row r="918" spans="1:26" hidden="1" outlineLevel="2">
      <c r="A918" s="160"/>
      <c r="B918" s="323"/>
      <c r="C918" s="207"/>
      <c r="D918" s="208"/>
      <c r="E918" s="133"/>
      <c r="F918" s="261"/>
      <c r="G918" s="138"/>
      <c r="H918" s="139"/>
      <c r="I918" s="206"/>
      <c r="J918" s="206"/>
      <c r="K918" s="206"/>
      <c r="L918" s="137"/>
      <c r="M918" s="74"/>
      <c r="N918" s="19"/>
      <c r="O918" s="234"/>
      <c r="P918" s="205"/>
      <c r="Q918" s="236">
        <f t="shared" si="394"/>
        <v>0</v>
      </c>
      <c r="R918" s="236">
        <f>SUM(S918:T918)</f>
        <v>0</v>
      </c>
      <c r="S918" s="235"/>
      <c r="T918" s="235"/>
      <c r="U918" s="236">
        <f t="shared" si="396"/>
        <v>0</v>
      </c>
      <c r="V918" s="235"/>
      <c r="W918" s="232">
        <f t="shared" si="397"/>
        <v>0</v>
      </c>
      <c r="X918" s="235"/>
      <c r="Y918" s="235"/>
      <c r="Z918" s="235"/>
    </row>
    <row r="919" spans="1:26" hidden="1" outlineLevel="2">
      <c r="A919" s="160"/>
      <c r="B919" s="74"/>
      <c r="C919" s="207"/>
      <c r="D919" s="208"/>
      <c r="E919" s="133"/>
      <c r="F919" s="261"/>
      <c r="G919" s="138"/>
      <c r="H919" s="139"/>
      <c r="I919" s="206"/>
      <c r="J919" s="206"/>
      <c r="K919" s="206"/>
      <c r="L919" s="137"/>
      <c r="M919" s="74"/>
      <c r="N919" s="19"/>
      <c r="O919" s="234"/>
      <c r="P919" s="205"/>
      <c r="Q919" s="235"/>
      <c r="R919" s="235"/>
      <c r="S919" s="235"/>
      <c r="T919" s="235"/>
      <c r="U919" s="235"/>
      <c r="V919" s="235"/>
      <c r="W919" s="235"/>
      <c r="X919" s="235"/>
      <c r="Y919" s="235"/>
      <c r="Z919" s="235"/>
    </row>
    <row r="920" spans="1:26" s="75" customFormat="1" outlineLevel="1" collapsed="1">
      <c r="A920" s="237"/>
      <c r="B920" s="238"/>
      <c r="C920" s="239"/>
      <c r="D920" s="240"/>
      <c r="E920" s="241"/>
      <c r="F920" s="264"/>
      <c r="G920" s="242"/>
      <c r="H920" s="243"/>
      <c r="I920" s="244"/>
      <c r="J920" s="244"/>
      <c r="K920" s="244"/>
      <c r="L920" s="150" t="str">
        <f>CONCATENATE(L921," ",N921,M921," ",L922," ",N922,M922," ",L923," ",N923,M923," ",L924," ",N924,M924," ",L925," ",N925,M925," ",L926," ",N926,M926," ",L927," ",N927,M927," ",L928," ",N928,M928," ",L929," ",N929,M929," ",L930," ",N930,M930," "," ",L931," ",N931,M931," ",L932," ",N932,M932," ",L933," ",N933,M933," ",L934," ",N934,M934," ",L935," ",N935,M935," ",L936," ",N936,M936)</f>
        <v xml:space="preserve">                                </v>
      </c>
      <c r="M920" s="243"/>
      <c r="N920" s="243"/>
      <c r="O920" s="287">
        <f>SUM(O929:O936)</f>
        <v>0</v>
      </c>
      <c r="P920" s="245"/>
      <c r="Q920" s="246">
        <f>SUM(Q929:Q936)</f>
        <v>0</v>
      </c>
      <c r="R920" s="246">
        <f t="shared" ref="R920:Y920" si="398">SUM(R929:R936)</f>
        <v>0</v>
      </c>
      <c r="S920" s="246">
        <f t="shared" si="398"/>
        <v>0</v>
      </c>
      <c r="T920" s="246">
        <f t="shared" si="398"/>
        <v>0</v>
      </c>
      <c r="U920" s="246">
        <f t="shared" si="398"/>
        <v>0</v>
      </c>
      <c r="V920" s="246">
        <f t="shared" si="398"/>
        <v>0</v>
      </c>
      <c r="W920" s="246">
        <f t="shared" si="398"/>
        <v>0</v>
      </c>
      <c r="X920" s="246">
        <f t="shared" si="398"/>
        <v>0</v>
      </c>
      <c r="Y920" s="246">
        <f t="shared" si="398"/>
        <v>0</v>
      </c>
      <c r="Z920" s="246">
        <f>SUM(Z929:Z936)</f>
        <v>0</v>
      </c>
    </row>
    <row r="921" spans="1:26" hidden="1" outlineLevel="2">
      <c r="A921" s="19"/>
      <c r="B921" s="323"/>
      <c r="C921" s="207"/>
      <c r="D921" s="208"/>
      <c r="E921" s="133"/>
      <c r="F921" s="261"/>
      <c r="G921" s="138"/>
      <c r="H921" s="135"/>
      <c r="I921" s="206"/>
      <c r="J921" s="206"/>
      <c r="K921" s="206"/>
      <c r="L921" s="137"/>
      <c r="M921" s="163"/>
      <c r="N921" s="163"/>
      <c r="O921" s="163"/>
      <c r="P921" s="205"/>
      <c r="Q921" s="236">
        <f>SUM(R921,U921)</f>
        <v>0</v>
      </c>
      <c r="R921" s="236">
        <f>SUM(S921:T921)</f>
        <v>0</v>
      </c>
      <c r="S921" s="236"/>
      <c r="T921" s="236"/>
      <c r="U921" s="236">
        <f>SUM(V921:Y921)</f>
        <v>0</v>
      </c>
      <c r="V921" s="236"/>
      <c r="W921" s="232">
        <f>V921*0.304</f>
        <v>0</v>
      </c>
      <c r="X921" s="236"/>
      <c r="Y921" s="236"/>
      <c r="Z921" s="236"/>
    </row>
    <row r="922" spans="1:26" hidden="1" outlineLevel="2">
      <c r="A922" s="19"/>
      <c r="B922" s="323"/>
      <c r="C922" s="207"/>
      <c r="D922" s="208"/>
      <c r="E922" s="133"/>
      <c r="F922" s="261"/>
      <c r="G922" s="138"/>
      <c r="H922" s="135"/>
      <c r="I922" s="206"/>
      <c r="J922" s="206"/>
      <c r="K922" s="206"/>
      <c r="L922" s="137"/>
      <c r="M922" s="163"/>
      <c r="N922" s="163"/>
      <c r="O922" s="163"/>
      <c r="P922" s="205"/>
      <c r="Q922" s="236">
        <f t="shared" ref="Q922:Q928" si="399">SUM(R922,U922)</f>
        <v>0</v>
      </c>
      <c r="R922" s="236">
        <f t="shared" ref="R922:R927" si="400">SUM(S922:T922)</f>
        <v>0</v>
      </c>
      <c r="S922" s="236"/>
      <c r="T922" s="236"/>
      <c r="U922" s="236">
        <f t="shared" ref="U922:U928" si="401">SUM(V922:Y922)</f>
        <v>0</v>
      </c>
      <c r="V922" s="236"/>
      <c r="W922" s="232">
        <f t="shared" ref="W922:W928" si="402">V922*0.304</f>
        <v>0</v>
      </c>
      <c r="X922" s="236"/>
      <c r="Y922" s="236"/>
      <c r="Z922" s="236"/>
    </row>
    <row r="923" spans="1:26" hidden="1" outlineLevel="2">
      <c r="A923" s="19"/>
      <c r="B923" s="323"/>
      <c r="C923" s="207"/>
      <c r="D923" s="208"/>
      <c r="E923" s="133"/>
      <c r="F923" s="261"/>
      <c r="G923" s="138"/>
      <c r="H923" s="135"/>
      <c r="I923" s="206"/>
      <c r="J923" s="206"/>
      <c r="K923" s="206"/>
      <c r="L923" s="137"/>
      <c r="M923" s="163"/>
      <c r="N923" s="163"/>
      <c r="O923" s="163"/>
      <c r="P923" s="205"/>
      <c r="Q923" s="236">
        <f t="shared" si="399"/>
        <v>0</v>
      </c>
      <c r="R923" s="236">
        <f t="shared" si="400"/>
        <v>0</v>
      </c>
      <c r="S923" s="236"/>
      <c r="T923" s="236"/>
      <c r="U923" s="236">
        <f t="shared" si="401"/>
        <v>0</v>
      </c>
      <c r="V923" s="236"/>
      <c r="W923" s="232">
        <f t="shared" si="402"/>
        <v>0</v>
      </c>
      <c r="X923" s="236"/>
      <c r="Y923" s="236"/>
      <c r="Z923" s="236"/>
    </row>
    <row r="924" spans="1:26" hidden="1" outlineLevel="2">
      <c r="A924" s="19"/>
      <c r="B924" s="323"/>
      <c r="C924" s="207"/>
      <c r="D924" s="208"/>
      <c r="E924" s="133"/>
      <c r="F924" s="261"/>
      <c r="G924" s="138"/>
      <c r="H924" s="135"/>
      <c r="I924" s="206"/>
      <c r="J924" s="206"/>
      <c r="K924" s="206"/>
      <c r="L924" s="137"/>
      <c r="M924" s="163"/>
      <c r="N924" s="163"/>
      <c r="O924" s="163"/>
      <c r="P924" s="205"/>
      <c r="Q924" s="236">
        <f t="shared" si="399"/>
        <v>0</v>
      </c>
      <c r="R924" s="236">
        <f t="shared" si="400"/>
        <v>0</v>
      </c>
      <c r="S924" s="236"/>
      <c r="T924" s="236"/>
      <c r="U924" s="236">
        <f t="shared" si="401"/>
        <v>0</v>
      </c>
      <c r="V924" s="236"/>
      <c r="W924" s="232">
        <f t="shared" si="402"/>
        <v>0</v>
      </c>
      <c r="X924" s="236"/>
      <c r="Y924" s="236"/>
      <c r="Z924" s="236"/>
    </row>
    <row r="925" spans="1:26" hidden="1" outlineLevel="2">
      <c r="A925" s="19"/>
      <c r="B925" s="323"/>
      <c r="C925" s="207"/>
      <c r="D925" s="208"/>
      <c r="E925" s="133"/>
      <c r="F925" s="261"/>
      <c r="G925" s="138"/>
      <c r="H925" s="135"/>
      <c r="I925" s="206"/>
      <c r="J925" s="206"/>
      <c r="K925" s="206"/>
      <c r="L925" s="137"/>
      <c r="M925" s="163"/>
      <c r="N925" s="163"/>
      <c r="O925" s="163"/>
      <c r="P925" s="205"/>
      <c r="Q925" s="236">
        <f t="shared" si="399"/>
        <v>0</v>
      </c>
      <c r="R925" s="236">
        <f t="shared" si="400"/>
        <v>0</v>
      </c>
      <c r="S925" s="236"/>
      <c r="T925" s="236"/>
      <c r="U925" s="236">
        <f t="shared" si="401"/>
        <v>0</v>
      </c>
      <c r="V925" s="236"/>
      <c r="W925" s="232">
        <f t="shared" si="402"/>
        <v>0</v>
      </c>
      <c r="X925" s="236"/>
      <c r="Y925" s="236"/>
      <c r="Z925" s="236"/>
    </row>
    <row r="926" spans="1:26" hidden="1" outlineLevel="2">
      <c r="A926" s="160"/>
      <c r="B926" s="323"/>
      <c r="C926" s="207"/>
      <c r="D926" s="208"/>
      <c r="E926" s="133"/>
      <c r="F926" s="261"/>
      <c r="G926" s="138"/>
      <c r="H926" s="139"/>
      <c r="I926" s="206"/>
      <c r="J926" s="206"/>
      <c r="K926" s="206"/>
      <c r="L926" s="137"/>
      <c r="M926" s="74"/>
      <c r="N926" s="74"/>
      <c r="O926" s="234"/>
      <c r="P926" s="205"/>
      <c r="Q926" s="236">
        <f t="shared" si="399"/>
        <v>0</v>
      </c>
      <c r="R926" s="236">
        <f t="shared" si="400"/>
        <v>0</v>
      </c>
      <c r="S926" s="235"/>
      <c r="T926" s="235"/>
      <c r="U926" s="236">
        <f t="shared" si="401"/>
        <v>0</v>
      </c>
      <c r="V926" s="235"/>
      <c r="W926" s="232">
        <f t="shared" si="402"/>
        <v>0</v>
      </c>
      <c r="X926" s="235"/>
      <c r="Y926" s="235"/>
      <c r="Z926" s="235"/>
    </row>
    <row r="927" spans="1:26" hidden="1" outlineLevel="2">
      <c r="A927" s="160"/>
      <c r="B927" s="323"/>
      <c r="C927" s="207"/>
      <c r="D927" s="208"/>
      <c r="E927" s="133"/>
      <c r="F927" s="261"/>
      <c r="G927" s="138"/>
      <c r="H927" s="139"/>
      <c r="I927" s="206"/>
      <c r="J927" s="206"/>
      <c r="K927" s="206"/>
      <c r="L927" s="137"/>
      <c r="M927" s="74"/>
      <c r="N927" s="19"/>
      <c r="O927" s="234"/>
      <c r="P927" s="205"/>
      <c r="Q927" s="236">
        <f t="shared" si="399"/>
        <v>0</v>
      </c>
      <c r="R927" s="236">
        <f t="shared" si="400"/>
        <v>0</v>
      </c>
      <c r="S927" s="235"/>
      <c r="T927" s="235"/>
      <c r="U927" s="236">
        <f t="shared" si="401"/>
        <v>0</v>
      </c>
      <c r="V927" s="235"/>
      <c r="W927" s="232">
        <f t="shared" si="402"/>
        <v>0</v>
      </c>
      <c r="X927" s="235"/>
      <c r="Y927" s="235"/>
      <c r="Z927" s="235"/>
    </row>
    <row r="928" spans="1:26" hidden="1" outlineLevel="2">
      <c r="A928" s="160"/>
      <c r="B928" s="323"/>
      <c r="C928" s="207"/>
      <c r="D928" s="208"/>
      <c r="E928" s="133"/>
      <c r="F928" s="261"/>
      <c r="G928" s="138"/>
      <c r="H928" s="139"/>
      <c r="I928" s="206"/>
      <c r="J928" s="206"/>
      <c r="K928" s="206"/>
      <c r="L928" s="137"/>
      <c r="M928" s="74"/>
      <c r="N928" s="19"/>
      <c r="O928" s="234"/>
      <c r="P928" s="205"/>
      <c r="Q928" s="236">
        <f t="shared" si="399"/>
        <v>0</v>
      </c>
      <c r="R928" s="236">
        <f>SUM(S928:T928)</f>
        <v>0</v>
      </c>
      <c r="S928" s="235"/>
      <c r="T928" s="235"/>
      <c r="U928" s="236">
        <f t="shared" si="401"/>
        <v>0</v>
      </c>
      <c r="V928" s="235"/>
      <c r="W928" s="232">
        <f t="shared" si="402"/>
        <v>0</v>
      </c>
      <c r="X928" s="235"/>
      <c r="Y928" s="235"/>
      <c r="Z928" s="235"/>
    </row>
    <row r="929" spans="1:26" hidden="1" outlineLevel="2">
      <c r="A929" s="19"/>
      <c r="B929" s="323"/>
      <c r="C929" s="207"/>
      <c r="D929" s="208"/>
      <c r="E929" s="133"/>
      <c r="F929" s="261"/>
      <c r="G929" s="138"/>
      <c r="H929" s="135"/>
      <c r="I929" s="206"/>
      <c r="J929" s="206"/>
      <c r="K929" s="206"/>
      <c r="L929" s="137"/>
      <c r="M929" s="163"/>
      <c r="N929" s="163"/>
      <c r="O929" s="163"/>
      <c r="P929" s="205"/>
      <c r="Q929" s="236">
        <f>SUM(R929,U929)</f>
        <v>0</v>
      </c>
      <c r="R929" s="236">
        <f>SUM(S929:T929)</f>
        <v>0</v>
      </c>
      <c r="S929" s="236"/>
      <c r="T929" s="236"/>
      <c r="U929" s="236">
        <f>SUM(V929:Y929)</f>
        <v>0</v>
      </c>
      <c r="V929" s="236"/>
      <c r="W929" s="232">
        <f>V929*0.304</f>
        <v>0</v>
      </c>
      <c r="X929" s="236"/>
      <c r="Y929" s="236"/>
      <c r="Z929" s="236"/>
    </row>
    <row r="930" spans="1:26" hidden="1" outlineLevel="2">
      <c r="A930" s="19"/>
      <c r="B930" s="323"/>
      <c r="C930" s="207"/>
      <c r="D930" s="208"/>
      <c r="E930" s="133"/>
      <c r="F930" s="261"/>
      <c r="G930" s="138"/>
      <c r="H930" s="135"/>
      <c r="I930" s="206"/>
      <c r="J930" s="206"/>
      <c r="K930" s="206"/>
      <c r="L930" s="137"/>
      <c r="M930" s="163"/>
      <c r="N930" s="163"/>
      <c r="O930" s="163"/>
      <c r="P930" s="205"/>
      <c r="Q930" s="236">
        <f t="shared" ref="Q930:Q936" si="403">SUM(R930,U930)</f>
        <v>0</v>
      </c>
      <c r="R930" s="236">
        <f t="shared" ref="R930:R935" si="404">SUM(S930:T930)</f>
        <v>0</v>
      </c>
      <c r="S930" s="236"/>
      <c r="T930" s="236"/>
      <c r="U930" s="236">
        <f t="shared" ref="U930:U936" si="405">SUM(V930:Y930)</f>
        <v>0</v>
      </c>
      <c r="V930" s="236"/>
      <c r="W930" s="232">
        <f t="shared" ref="W930:W936" si="406">V930*0.304</f>
        <v>0</v>
      </c>
      <c r="X930" s="236"/>
      <c r="Y930" s="236"/>
      <c r="Z930" s="236"/>
    </row>
    <row r="931" spans="1:26" hidden="1" outlineLevel="2">
      <c r="A931" s="19"/>
      <c r="B931" s="323"/>
      <c r="C931" s="207"/>
      <c r="D931" s="208"/>
      <c r="E931" s="133"/>
      <c r="F931" s="261"/>
      <c r="G931" s="138"/>
      <c r="H931" s="135"/>
      <c r="I931" s="206"/>
      <c r="J931" s="206"/>
      <c r="K931" s="206"/>
      <c r="L931" s="137"/>
      <c r="M931" s="163"/>
      <c r="N931" s="163"/>
      <c r="O931" s="163"/>
      <c r="P931" s="205"/>
      <c r="Q931" s="236">
        <f t="shared" si="403"/>
        <v>0</v>
      </c>
      <c r="R931" s="236">
        <f t="shared" si="404"/>
        <v>0</v>
      </c>
      <c r="S931" s="236"/>
      <c r="T931" s="236"/>
      <c r="U931" s="236">
        <f t="shared" si="405"/>
        <v>0</v>
      </c>
      <c r="V931" s="236"/>
      <c r="W931" s="232">
        <f t="shared" si="406"/>
        <v>0</v>
      </c>
      <c r="X931" s="236"/>
      <c r="Y931" s="236"/>
      <c r="Z931" s="236"/>
    </row>
    <row r="932" spans="1:26" hidden="1" outlineLevel="2">
      <c r="A932" s="19"/>
      <c r="B932" s="323"/>
      <c r="C932" s="207"/>
      <c r="D932" s="208"/>
      <c r="E932" s="133"/>
      <c r="F932" s="261"/>
      <c r="G932" s="138"/>
      <c r="H932" s="135"/>
      <c r="I932" s="206"/>
      <c r="J932" s="206"/>
      <c r="K932" s="206"/>
      <c r="L932" s="137"/>
      <c r="M932" s="163"/>
      <c r="N932" s="163"/>
      <c r="O932" s="163"/>
      <c r="P932" s="205"/>
      <c r="Q932" s="236">
        <f t="shared" si="403"/>
        <v>0</v>
      </c>
      <c r="R932" s="236">
        <f t="shared" si="404"/>
        <v>0</v>
      </c>
      <c r="S932" s="236"/>
      <c r="T932" s="236"/>
      <c r="U932" s="236">
        <f t="shared" si="405"/>
        <v>0</v>
      </c>
      <c r="V932" s="236"/>
      <c r="W932" s="232">
        <f t="shared" si="406"/>
        <v>0</v>
      </c>
      <c r="X932" s="236"/>
      <c r="Y932" s="236"/>
      <c r="Z932" s="236"/>
    </row>
    <row r="933" spans="1:26" hidden="1" outlineLevel="2">
      <c r="A933" s="19"/>
      <c r="B933" s="323"/>
      <c r="C933" s="207"/>
      <c r="D933" s="208"/>
      <c r="E933" s="133"/>
      <c r="F933" s="261"/>
      <c r="G933" s="138"/>
      <c r="H933" s="135"/>
      <c r="I933" s="206"/>
      <c r="J933" s="206"/>
      <c r="K933" s="206"/>
      <c r="L933" s="137"/>
      <c r="M933" s="163"/>
      <c r="N933" s="163"/>
      <c r="O933" s="163"/>
      <c r="P933" s="205"/>
      <c r="Q933" s="236">
        <f t="shared" si="403"/>
        <v>0</v>
      </c>
      <c r="R933" s="236">
        <f t="shared" si="404"/>
        <v>0</v>
      </c>
      <c r="S933" s="236"/>
      <c r="T933" s="236"/>
      <c r="U933" s="236">
        <f t="shared" si="405"/>
        <v>0</v>
      </c>
      <c r="V933" s="236"/>
      <c r="W933" s="232">
        <f t="shared" si="406"/>
        <v>0</v>
      </c>
      <c r="X933" s="236"/>
      <c r="Y933" s="236"/>
      <c r="Z933" s="236"/>
    </row>
    <row r="934" spans="1:26" hidden="1" outlineLevel="2">
      <c r="A934" s="160"/>
      <c r="B934" s="323"/>
      <c r="C934" s="207"/>
      <c r="D934" s="208"/>
      <c r="E934" s="133"/>
      <c r="F934" s="261"/>
      <c r="G934" s="138"/>
      <c r="H934" s="139"/>
      <c r="I934" s="206"/>
      <c r="J934" s="206"/>
      <c r="K934" s="206"/>
      <c r="L934" s="137"/>
      <c r="M934" s="74"/>
      <c r="N934" s="74"/>
      <c r="O934" s="234"/>
      <c r="P934" s="205"/>
      <c r="Q934" s="236">
        <f t="shared" si="403"/>
        <v>0</v>
      </c>
      <c r="R934" s="236">
        <f t="shared" si="404"/>
        <v>0</v>
      </c>
      <c r="S934" s="235"/>
      <c r="T934" s="235"/>
      <c r="U934" s="236">
        <f t="shared" si="405"/>
        <v>0</v>
      </c>
      <c r="V934" s="235"/>
      <c r="W934" s="232">
        <f t="shared" si="406"/>
        <v>0</v>
      </c>
      <c r="X934" s="235"/>
      <c r="Y934" s="235"/>
      <c r="Z934" s="235"/>
    </row>
    <row r="935" spans="1:26" hidden="1" outlineLevel="2">
      <c r="A935" s="160"/>
      <c r="B935" s="323"/>
      <c r="C935" s="207"/>
      <c r="D935" s="208"/>
      <c r="E935" s="133"/>
      <c r="F935" s="261"/>
      <c r="G935" s="138"/>
      <c r="H935" s="139"/>
      <c r="I935" s="206"/>
      <c r="J935" s="206"/>
      <c r="K935" s="206"/>
      <c r="L935" s="137"/>
      <c r="M935" s="74"/>
      <c r="N935" s="19"/>
      <c r="O935" s="234"/>
      <c r="P935" s="205"/>
      <c r="Q935" s="236">
        <f t="shared" si="403"/>
        <v>0</v>
      </c>
      <c r="R935" s="236">
        <f t="shared" si="404"/>
        <v>0</v>
      </c>
      <c r="S935" s="235"/>
      <c r="T935" s="235"/>
      <c r="U935" s="236">
        <f t="shared" si="405"/>
        <v>0</v>
      </c>
      <c r="V935" s="235"/>
      <c r="W935" s="232">
        <f t="shared" si="406"/>
        <v>0</v>
      </c>
      <c r="X935" s="235"/>
      <c r="Y935" s="235"/>
      <c r="Z935" s="235"/>
    </row>
    <row r="936" spans="1:26" hidden="1" outlineLevel="2">
      <c r="A936" s="160"/>
      <c r="B936" s="323"/>
      <c r="C936" s="207"/>
      <c r="D936" s="208"/>
      <c r="E936" s="133"/>
      <c r="F936" s="261"/>
      <c r="G936" s="138"/>
      <c r="H936" s="139"/>
      <c r="I936" s="206"/>
      <c r="J936" s="206"/>
      <c r="K936" s="206"/>
      <c r="L936" s="137"/>
      <c r="M936" s="74"/>
      <c r="N936" s="19"/>
      <c r="O936" s="234"/>
      <c r="P936" s="205"/>
      <c r="Q936" s="236">
        <f t="shared" si="403"/>
        <v>0</v>
      </c>
      <c r="R936" s="236">
        <f>SUM(S936:T936)</f>
        <v>0</v>
      </c>
      <c r="S936" s="235"/>
      <c r="T936" s="235"/>
      <c r="U936" s="236">
        <f t="shared" si="405"/>
        <v>0</v>
      </c>
      <c r="V936" s="235"/>
      <c r="W936" s="232">
        <f t="shared" si="406"/>
        <v>0</v>
      </c>
      <c r="X936" s="235"/>
      <c r="Y936" s="235"/>
      <c r="Z936" s="235"/>
    </row>
    <row r="937" spans="1:26" hidden="1" outlineLevel="2">
      <c r="A937" s="160"/>
      <c r="B937" s="74"/>
      <c r="C937" s="207"/>
      <c r="D937" s="208"/>
      <c r="E937" s="133"/>
      <c r="F937" s="261"/>
      <c r="G937" s="138"/>
      <c r="H937" s="139"/>
      <c r="I937" s="206"/>
      <c r="J937" s="206"/>
      <c r="K937" s="206"/>
      <c r="L937" s="137"/>
      <c r="M937" s="74"/>
      <c r="N937" s="19"/>
      <c r="O937" s="234"/>
      <c r="P937" s="205"/>
      <c r="Q937" s="235"/>
      <c r="R937" s="235"/>
      <c r="S937" s="235"/>
      <c r="T937" s="235"/>
      <c r="U937" s="235"/>
      <c r="V937" s="235"/>
      <c r="W937" s="235"/>
      <c r="X937" s="235"/>
      <c r="Y937" s="235"/>
      <c r="Z937" s="235"/>
    </row>
    <row r="938" spans="1:26" s="75" customFormat="1" outlineLevel="1" collapsed="1">
      <c r="A938" s="237"/>
      <c r="B938" s="238"/>
      <c r="C938" s="239"/>
      <c r="D938" s="240"/>
      <c r="E938" s="241"/>
      <c r="F938" s="264"/>
      <c r="G938" s="242"/>
      <c r="H938" s="243"/>
      <c r="I938" s="244"/>
      <c r="J938" s="244"/>
      <c r="K938" s="244"/>
      <c r="L938" s="150" t="str">
        <f>CONCATENATE(L939," ",N939,M939," ",L940," ",N940,M940," ",L941," ",N941,M941," ",L942," ",N942,M942," ",L943," ",N943,M943," ",L944," ",N944,M944," ",L945," ",N945,M945," ",L946," ",N946,M946," ",L947," ",N947,M947," ",L948," ",N948,M948," "," ",L949," ",N949,M949," ",L950," ",N950,M950," ",L951," ",N951,M951," ",L952," ",N952,M952," ",L953," ",N953,M953," ",L954," ",N954,M954)</f>
        <v xml:space="preserve">                                </v>
      </c>
      <c r="M938" s="243"/>
      <c r="N938" s="243"/>
      <c r="O938" s="287">
        <f>SUM(O947:O954)</f>
        <v>0</v>
      </c>
      <c r="P938" s="245"/>
      <c r="Q938" s="246">
        <f>SUM(Q947:Q954)</f>
        <v>0</v>
      </c>
      <c r="R938" s="246">
        <f t="shared" ref="R938:Y938" si="407">SUM(R947:R954)</f>
        <v>0</v>
      </c>
      <c r="S938" s="246">
        <f t="shared" si="407"/>
        <v>0</v>
      </c>
      <c r="T938" s="246">
        <f t="shared" si="407"/>
        <v>0</v>
      </c>
      <c r="U938" s="246">
        <f t="shared" si="407"/>
        <v>0</v>
      </c>
      <c r="V938" s="246">
        <f t="shared" si="407"/>
        <v>0</v>
      </c>
      <c r="W938" s="246">
        <f t="shared" si="407"/>
        <v>0</v>
      </c>
      <c r="X938" s="246">
        <f t="shared" si="407"/>
        <v>0</v>
      </c>
      <c r="Y938" s="246">
        <f t="shared" si="407"/>
        <v>0</v>
      </c>
      <c r="Z938" s="246">
        <f>SUM(Z947:Z954)</f>
        <v>0</v>
      </c>
    </row>
    <row r="939" spans="1:26" hidden="1" outlineLevel="2">
      <c r="A939" s="19"/>
      <c r="B939" s="323"/>
      <c r="C939" s="207"/>
      <c r="D939" s="208"/>
      <c r="E939" s="133"/>
      <c r="F939" s="261"/>
      <c r="G939" s="138"/>
      <c r="H939" s="135"/>
      <c r="I939" s="206"/>
      <c r="J939" s="206"/>
      <c r="K939" s="206"/>
      <c r="L939" s="137"/>
      <c r="M939" s="163"/>
      <c r="N939" s="163"/>
      <c r="O939" s="163"/>
      <c r="P939" s="205"/>
      <c r="Q939" s="236">
        <f>SUM(R939,U939)</f>
        <v>0</v>
      </c>
      <c r="R939" s="236">
        <f>SUM(S939:T939)</f>
        <v>0</v>
      </c>
      <c r="S939" s="236"/>
      <c r="T939" s="236"/>
      <c r="U939" s="236">
        <f>SUM(V939:Y939)</f>
        <v>0</v>
      </c>
      <c r="V939" s="236"/>
      <c r="W939" s="232">
        <f>V939*0.304</f>
        <v>0</v>
      </c>
      <c r="X939" s="236"/>
      <c r="Y939" s="236"/>
      <c r="Z939" s="236"/>
    </row>
    <row r="940" spans="1:26" hidden="1" outlineLevel="2">
      <c r="A940" s="19"/>
      <c r="B940" s="323"/>
      <c r="C940" s="207"/>
      <c r="D940" s="208"/>
      <c r="E940" s="133"/>
      <c r="F940" s="261"/>
      <c r="G940" s="138"/>
      <c r="H940" s="135"/>
      <c r="I940" s="206"/>
      <c r="J940" s="206"/>
      <c r="K940" s="206"/>
      <c r="L940" s="137"/>
      <c r="M940" s="163"/>
      <c r="N940" s="163"/>
      <c r="O940" s="163"/>
      <c r="P940" s="205"/>
      <c r="Q940" s="236">
        <f t="shared" ref="Q940:Q946" si="408">SUM(R940,U940)</f>
        <v>0</v>
      </c>
      <c r="R940" s="236">
        <f t="shared" ref="R940:R945" si="409">SUM(S940:T940)</f>
        <v>0</v>
      </c>
      <c r="S940" s="236"/>
      <c r="T940" s="236"/>
      <c r="U940" s="236">
        <f t="shared" ref="U940:U946" si="410">SUM(V940:Y940)</f>
        <v>0</v>
      </c>
      <c r="V940" s="236"/>
      <c r="W940" s="232">
        <f t="shared" ref="W940:W946" si="411">V940*0.304</f>
        <v>0</v>
      </c>
      <c r="X940" s="236"/>
      <c r="Y940" s="236"/>
      <c r="Z940" s="236"/>
    </row>
    <row r="941" spans="1:26" hidden="1" outlineLevel="2">
      <c r="A941" s="19"/>
      <c r="B941" s="323"/>
      <c r="C941" s="207"/>
      <c r="D941" s="208"/>
      <c r="E941" s="133"/>
      <c r="F941" s="261"/>
      <c r="G941" s="138"/>
      <c r="H941" s="135"/>
      <c r="I941" s="206"/>
      <c r="J941" s="206"/>
      <c r="K941" s="206"/>
      <c r="L941" s="137"/>
      <c r="M941" s="163"/>
      <c r="N941" s="163"/>
      <c r="O941" s="163"/>
      <c r="P941" s="205"/>
      <c r="Q941" s="236">
        <f t="shared" si="408"/>
        <v>0</v>
      </c>
      <c r="R941" s="236">
        <f t="shared" si="409"/>
        <v>0</v>
      </c>
      <c r="S941" s="236"/>
      <c r="T941" s="236"/>
      <c r="U941" s="236">
        <f t="shared" si="410"/>
        <v>0</v>
      </c>
      <c r="V941" s="236"/>
      <c r="W941" s="232">
        <f t="shared" si="411"/>
        <v>0</v>
      </c>
      <c r="X941" s="236"/>
      <c r="Y941" s="236"/>
      <c r="Z941" s="236"/>
    </row>
    <row r="942" spans="1:26" hidden="1" outlineLevel="2">
      <c r="A942" s="19"/>
      <c r="B942" s="323"/>
      <c r="C942" s="207"/>
      <c r="D942" s="208"/>
      <c r="E942" s="133"/>
      <c r="F942" s="261"/>
      <c r="G942" s="138"/>
      <c r="H942" s="135"/>
      <c r="I942" s="206"/>
      <c r="J942" s="206"/>
      <c r="K942" s="206"/>
      <c r="L942" s="137"/>
      <c r="M942" s="163"/>
      <c r="N942" s="163"/>
      <c r="O942" s="163"/>
      <c r="P942" s="205"/>
      <c r="Q942" s="236">
        <f t="shared" si="408"/>
        <v>0</v>
      </c>
      <c r="R942" s="236">
        <f t="shared" si="409"/>
        <v>0</v>
      </c>
      <c r="S942" s="236"/>
      <c r="T942" s="236"/>
      <c r="U942" s="236">
        <f t="shared" si="410"/>
        <v>0</v>
      </c>
      <c r="V942" s="236"/>
      <c r="W942" s="232">
        <f t="shared" si="411"/>
        <v>0</v>
      </c>
      <c r="X942" s="236"/>
      <c r="Y942" s="236"/>
      <c r="Z942" s="236"/>
    </row>
    <row r="943" spans="1:26" hidden="1" outlineLevel="2">
      <c r="A943" s="19"/>
      <c r="B943" s="323"/>
      <c r="C943" s="207"/>
      <c r="D943" s="208"/>
      <c r="E943" s="133"/>
      <c r="F943" s="261"/>
      <c r="G943" s="138"/>
      <c r="H943" s="135"/>
      <c r="I943" s="206"/>
      <c r="J943" s="206"/>
      <c r="K943" s="206"/>
      <c r="L943" s="137"/>
      <c r="M943" s="163"/>
      <c r="N943" s="163"/>
      <c r="O943" s="163"/>
      <c r="P943" s="205"/>
      <c r="Q943" s="236">
        <f t="shared" si="408"/>
        <v>0</v>
      </c>
      <c r="R943" s="236">
        <f t="shared" si="409"/>
        <v>0</v>
      </c>
      <c r="S943" s="236"/>
      <c r="T943" s="236"/>
      <c r="U943" s="236">
        <f t="shared" si="410"/>
        <v>0</v>
      </c>
      <c r="V943" s="236"/>
      <c r="W943" s="232">
        <f t="shared" si="411"/>
        <v>0</v>
      </c>
      <c r="X943" s="236"/>
      <c r="Y943" s="236"/>
      <c r="Z943" s="236"/>
    </row>
    <row r="944" spans="1:26" hidden="1" outlineLevel="2">
      <c r="A944" s="160"/>
      <c r="B944" s="323"/>
      <c r="C944" s="207"/>
      <c r="D944" s="208"/>
      <c r="E944" s="133"/>
      <c r="F944" s="261"/>
      <c r="G944" s="138"/>
      <c r="H944" s="139"/>
      <c r="I944" s="206"/>
      <c r="J944" s="206"/>
      <c r="K944" s="206"/>
      <c r="L944" s="137"/>
      <c r="M944" s="74"/>
      <c r="N944" s="74"/>
      <c r="O944" s="234"/>
      <c r="P944" s="205"/>
      <c r="Q944" s="236">
        <f t="shared" si="408"/>
        <v>0</v>
      </c>
      <c r="R944" s="236">
        <f t="shared" si="409"/>
        <v>0</v>
      </c>
      <c r="S944" s="235"/>
      <c r="T944" s="235"/>
      <c r="U944" s="236">
        <f t="shared" si="410"/>
        <v>0</v>
      </c>
      <c r="V944" s="235"/>
      <c r="W944" s="232">
        <f t="shared" si="411"/>
        <v>0</v>
      </c>
      <c r="X944" s="235"/>
      <c r="Y944" s="235"/>
      <c r="Z944" s="235"/>
    </row>
    <row r="945" spans="1:26" hidden="1" outlineLevel="2">
      <c r="A945" s="160"/>
      <c r="B945" s="323"/>
      <c r="C945" s="207"/>
      <c r="D945" s="208"/>
      <c r="E945" s="133"/>
      <c r="F945" s="261"/>
      <c r="G945" s="138"/>
      <c r="H945" s="139"/>
      <c r="I945" s="206"/>
      <c r="J945" s="206"/>
      <c r="K945" s="206"/>
      <c r="L945" s="137"/>
      <c r="M945" s="74"/>
      <c r="N945" s="19"/>
      <c r="O945" s="234"/>
      <c r="P945" s="205"/>
      <c r="Q945" s="236">
        <f t="shared" si="408"/>
        <v>0</v>
      </c>
      <c r="R945" s="236">
        <f t="shared" si="409"/>
        <v>0</v>
      </c>
      <c r="S945" s="235"/>
      <c r="T945" s="235"/>
      <c r="U945" s="236">
        <f t="shared" si="410"/>
        <v>0</v>
      </c>
      <c r="V945" s="235"/>
      <c r="W945" s="232">
        <f t="shared" si="411"/>
        <v>0</v>
      </c>
      <c r="X945" s="235"/>
      <c r="Y945" s="235"/>
      <c r="Z945" s="235"/>
    </row>
    <row r="946" spans="1:26" hidden="1" outlineLevel="2">
      <c r="A946" s="160"/>
      <c r="B946" s="323"/>
      <c r="C946" s="207"/>
      <c r="D946" s="208"/>
      <c r="E946" s="133"/>
      <c r="F946" s="261"/>
      <c r="G946" s="138"/>
      <c r="H946" s="139"/>
      <c r="I946" s="206"/>
      <c r="J946" s="206"/>
      <c r="K946" s="206"/>
      <c r="L946" s="137"/>
      <c r="M946" s="74"/>
      <c r="N946" s="19"/>
      <c r="O946" s="234"/>
      <c r="P946" s="205"/>
      <c r="Q946" s="236">
        <f t="shared" si="408"/>
        <v>0</v>
      </c>
      <c r="R946" s="236">
        <f>SUM(S946:T946)</f>
        <v>0</v>
      </c>
      <c r="S946" s="235"/>
      <c r="T946" s="235"/>
      <c r="U946" s="236">
        <f t="shared" si="410"/>
        <v>0</v>
      </c>
      <c r="V946" s="235"/>
      <c r="W946" s="232">
        <f t="shared" si="411"/>
        <v>0</v>
      </c>
      <c r="X946" s="235"/>
      <c r="Y946" s="235"/>
      <c r="Z946" s="235"/>
    </row>
    <row r="947" spans="1:26" hidden="1" outlineLevel="2">
      <c r="A947" s="19"/>
      <c r="B947" s="323"/>
      <c r="C947" s="207"/>
      <c r="D947" s="208"/>
      <c r="E947" s="133"/>
      <c r="F947" s="261"/>
      <c r="G947" s="138"/>
      <c r="H947" s="135"/>
      <c r="I947" s="206"/>
      <c r="J947" s="206"/>
      <c r="K947" s="206"/>
      <c r="L947" s="137"/>
      <c r="M947" s="163"/>
      <c r="N947" s="163"/>
      <c r="O947" s="163"/>
      <c r="P947" s="205"/>
      <c r="Q947" s="236">
        <f>SUM(R947,U947)</f>
        <v>0</v>
      </c>
      <c r="R947" s="236">
        <f>SUM(S947:T947)</f>
        <v>0</v>
      </c>
      <c r="S947" s="236"/>
      <c r="T947" s="236"/>
      <c r="U947" s="236">
        <f>SUM(V947:Y947)</f>
        <v>0</v>
      </c>
      <c r="V947" s="236"/>
      <c r="W947" s="232">
        <f>V947*0.304</f>
        <v>0</v>
      </c>
      <c r="X947" s="236"/>
      <c r="Y947" s="236"/>
      <c r="Z947" s="236"/>
    </row>
    <row r="948" spans="1:26" hidden="1" outlineLevel="2">
      <c r="A948" s="19"/>
      <c r="B948" s="323"/>
      <c r="C948" s="207"/>
      <c r="D948" s="208"/>
      <c r="E948" s="133"/>
      <c r="F948" s="261"/>
      <c r="G948" s="138"/>
      <c r="H948" s="135"/>
      <c r="I948" s="206"/>
      <c r="J948" s="206"/>
      <c r="K948" s="206"/>
      <c r="L948" s="137"/>
      <c r="M948" s="163"/>
      <c r="N948" s="163"/>
      <c r="O948" s="163"/>
      <c r="P948" s="205"/>
      <c r="Q948" s="236">
        <f t="shared" ref="Q948:Q954" si="412">SUM(R948,U948)</f>
        <v>0</v>
      </c>
      <c r="R948" s="236">
        <f t="shared" ref="R948:R953" si="413">SUM(S948:T948)</f>
        <v>0</v>
      </c>
      <c r="S948" s="236"/>
      <c r="T948" s="236"/>
      <c r="U948" s="236">
        <f t="shared" ref="U948:U954" si="414">SUM(V948:Y948)</f>
        <v>0</v>
      </c>
      <c r="V948" s="236"/>
      <c r="W948" s="232">
        <f t="shared" ref="W948:W954" si="415">V948*0.304</f>
        <v>0</v>
      </c>
      <c r="X948" s="236"/>
      <c r="Y948" s="236"/>
      <c r="Z948" s="236"/>
    </row>
    <row r="949" spans="1:26" hidden="1" outlineLevel="2">
      <c r="A949" s="19"/>
      <c r="B949" s="323"/>
      <c r="C949" s="207"/>
      <c r="D949" s="208"/>
      <c r="E949" s="133"/>
      <c r="F949" s="261"/>
      <c r="G949" s="138"/>
      <c r="H949" s="135"/>
      <c r="I949" s="206"/>
      <c r="J949" s="206"/>
      <c r="K949" s="206"/>
      <c r="L949" s="137"/>
      <c r="M949" s="163"/>
      <c r="N949" s="163"/>
      <c r="O949" s="163"/>
      <c r="P949" s="205"/>
      <c r="Q949" s="236">
        <f t="shared" si="412"/>
        <v>0</v>
      </c>
      <c r="R949" s="236">
        <f t="shared" si="413"/>
        <v>0</v>
      </c>
      <c r="S949" s="236"/>
      <c r="T949" s="236"/>
      <c r="U949" s="236">
        <f t="shared" si="414"/>
        <v>0</v>
      </c>
      <c r="V949" s="236"/>
      <c r="W949" s="232">
        <f t="shared" si="415"/>
        <v>0</v>
      </c>
      <c r="X949" s="236"/>
      <c r="Y949" s="236"/>
      <c r="Z949" s="236"/>
    </row>
    <row r="950" spans="1:26" hidden="1" outlineLevel="2">
      <c r="A950" s="19"/>
      <c r="B950" s="323"/>
      <c r="C950" s="207"/>
      <c r="D950" s="208"/>
      <c r="E950" s="133"/>
      <c r="F950" s="261"/>
      <c r="G950" s="138"/>
      <c r="H950" s="135"/>
      <c r="I950" s="206"/>
      <c r="J950" s="206"/>
      <c r="K950" s="206"/>
      <c r="L950" s="137"/>
      <c r="M950" s="163"/>
      <c r="N950" s="163"/>
      <c r="O950" s="163"/>
      <c r="P950" s="205"/>
      <c r="Q950" s="236">
        <f t="shared" si="412"/>
        <v>0</v>
      </c>
      <c r="R950" s="236">
        <f t="shared" si="413"/>
        <v>0</v>
      </c>
      <c r="S950" s="236"/>
      <c r="T950" s="236"/>
      <c r="U950" s="236">
        <f t="shared" si="414"/>
        <v>0</v>
      </c>
      <c r="V950" s="236"/>
      <c r="W950" s="232">
        <f t="shared" si="415"/>
        <v>0</v>
      </c>
      <c r="X950" s="236"/>
      <c r="Y950" s="236"/>
      <c r="Z950" s="236"/>
    </row>
    <row r="951" spans="1:26" hidden="1" outlineLevel="2">
      <c r="A951" s="19"/>
      <c r="B951" s="323"/>
      <c r="C951" s="207"/>
      <c r="D951" s="208"/>
      <c r="E951" s="133"/>
      <c r="F951" s="261"/>
      <c r="G951" s="138"/>
      <c r="H951" s="135"/>
      <c r="I951" s="206"/>
      <c r="J951" s="206"/>
      <c r="K951" s="206"/>
      <c r="L951" s="137"/>
      <c r="M951" s="163"/>
      <c r="N951" s="163"/>
      <c r="O951" s="163"/>
      <c r="P951" s="205"/>
      <c r="Q951" s="236">
        <f t="shared" si="412"/>
        <v>0</v>
      </c>
      <c r="R951" s="236">
        <f t="shared" si="413"/>
        <v>0</v>
      </c>
      <c r="S951" s="236"/>
      <c r="T951" s="236"/>
      <c r="U951" s="236">
        <f t="shared" si="414"/>
        <v>0</v>
      </c>
      <c r="V951" s="236"/>
      <c r="W951" s="232">
        <f t="shared" si="415"/>
        <v>0</v>
      </c>
      <c r="X951" s="236"/>
      <c r="Y951" s="236"/>
      <c r="Z951" s="236"/>
    </row>
    <row r="952" spans="1:26" hidden="1" outlineLevel="2">
      <c r="A952" s="160"/>
      <c r="B952" s="323"/>
      <c r="C952" s="207"/>
      <c r="D952" s="208"/>
      <c r="E952" s="133"/>
      <c r="F952" s="261"/>
      <c r="G952" s="138"/>
      <c r="H952" s="139"/>
      <c r="I952" s="206"/>
      <c r="J952" s="206"/>
      <c r="K952" s="206"/>
      <c r="L952" s="137"/>
      <c r="M952" s="74"/>
      <c r="N952" s="74"/>
      <c r="O952" s="234"/>
      <c r="P952" s="205"/>
      <c r="Q952" s="236">
        <f t="shared" si="412"/>
        <v>0</v>
      </c>
      <c r="R952" s="236">
        <f t="shared" si="413"/>
        <v>0</v>
      </c>
      <c r="S952" s="235"/>
      <c r="T952" s="235"/>
      <c r="U952" s="236">
        <f t="shared" si="414"/>
        <v>0</v>
      </c>
      <c r="V952" s="235"/>
      <c r="W952" s="232">
        <f t="shared" si="415"/>
        <v>0</v>
      </c>
      <c r="X952" s="235"/>
      <c r="Y952" s="235"/>
      <c r="Z952" s="235"/>
    </row>
    <row r="953" spans="1:26" hidden="1" outlineLevel="2">
      <c r="A953" s="160"/>
      <c r="B953" s="323"/>
      <c r="C953" s="207"/>
      <c r="D953" s="208"/>
      <c r="E953" s="133"/>
      <c r="F953" s="261"/>
      <c r="G953" s="138"/>
      <c r="H953" s="139"/>
      <c r="I953" s="206"/>
      <c r="J953" s="206"/>
      <c r="K953" s="206"/>
      <c r="L953" s="137"/>
      <c r="M953" s="74"/>
      <c r="N953" s="19"/>
      <c r="O953" s="234"/>
      <c r="P953" s="205"/>
      <c r="Q953" s="236">
        <f t="shared" si="412"/>
        <v>0</v>
      </c>
      <c r="R953" s="236">
        <f t="shared" si="413"/>
        <v>0</v>
      </c>
      <c r="S953" s="235"/>
      <c r="T953" s="235"/>
      <c r="U953" s="236">
        <f t="shared" si="414"/>
        <v>0</v>
      </c>
      <c r="V953" s="235"/>
      <c r="W953" s="232">
        <f t="shared" si="415"/>
        <v>0</v>
      </c>
      <c r="X953" s="235"/>
      <c r="Y953" s="235"/>
      <c r="Z953" s="235"/>
    </row>
    <row r="954" spans="1:26" hidden="1" outlineLevel="2">
      <c r="A954" s="160"/>
      <c r="B954" s="323"/>
      <c r="C954" s="207"/>
      <c r="D954" s="208"/>
      <c r="E954" s="133"/>
      <c r="F954" s="261"/>
      <c r="G954" s="138"/>
      <c r="H954" s="139"/>
      <c r="I954" s="206"/>
      <c r="J954" s="206"/>
      <c r="K954" s="206"/>
      <c r="L954" s="137"/>
      <c r="M954" s="74"/>
      <c r="N954" s="19"/>
      <c r="O954" s="234"/>
      <c r="P954" s="205"/>
      <c r="Q954" s="236">
        <f t="shared" si="412"/>
        <v>0</v>
      </c>
      <c r="R954" s="236">
        <f>SUM(S954:T954)</f>
        <v>0</v>
      </c>
      <c r="S954" s="235"/>
      <c r="T954" s="235"/>
      <c r="U954" s="236">
        <f t="shared" si="414"/>
        <v>0</v>
      </c>
      <c r="V954" s="235"/>
      <c r="W954" s="232">
        <f t="shared" si="415"/>
        <v>0</v>
      </c>
      <c r="X954" s="235"/>
      <c r="Y954" s="235"/>
      <c r="Z954" s="235"/>
    </row>
    <row r="955" spans="1:26" hidden="1" outlineLevel="2">
      <c r="A955" s="160"/>
      <c r="B955" s="74"/>
      <c r="C955" s="207"/>
      <c r="D955" s="208"/>
      <c r="E955" s="133"/>
      <c r="F955" s="261"/>
      <c r="G955" s="138"/>
      <c r="H955" s="139"/>
      <c r="I955" s="206"/>
      <c r="J955" s="206"/>
      <c r="K955" s="206"/>
      <c r="L955" s="137"/>
      <c r="M955" s="74"/>
      <c r="N955" s="19"/>
      <c r="O955" s="234"/>
      <c r="P955" s="205"/>
      <c r="Q955" s="235"/>
      <c r="R955" s="235"/>
      <c r="S955" s="235"/>
      <c r="T955" s="235"/>
      <c r="U955" s="235"/>
      <c r="V955" s="235"/>
      <c r="W955" s="235"/>
      <c r="X955" s="235"/>
      <c r="Y955" s="235"/>
      <c r="Z955" s="235"/>
    </row>
    <row r="956" spans="1:26" s="75" customFormat="1" outlineLevel="1" collapsed="1">
      <c r="A956" s="237"/>
      <c r="B956" s="238"/>
      <c r="C956" s="239"/>
      <c r="D956" s="240"/>
      <c r="E956" s="241"/>
      <c r="F956" s="264"/>
      <c r="G956" s="242"/>
      <c r="H956" s="243"/>
      <c r="I956" s="244"/>
      <c r="J956" s="244"/>
      <c r="K956" s="244"/>
      <c r="L956" s="150" t="str">
        <f>CONCATENATE(L957," ",N957,M957," ",L958," ",N958,M958," ",L959," ",N959,M959," ",L960," ",N960,M960," ",L961," ",N961,M961," ",L962," ",N962,M962," ",L963," ",N963,M963," ",L964," ",N964,M964," ",L965," ",N965,M965," ",L966," ",N966,M966," "," ",L967," ",N967,M967," ",L968," ",N968,M968," ",L969," ",N969,M969," ",L970," ",N970,M970," ",L971," ",N971,M971," ",L972," ",N972,M972)</f>
        <v xml:space="preserve">                                </v>
      </c>
      <c r="M956" s="243"/>
      <c r="N956" s="243"/>
      <c r="O956" s="287">
        <f>SUM(O965:O972)</f>
        <v>0</v>
      </c>
      <c r="P956" s="245"/>
      <c r="Q956" s="246">
        <f>SUM(Q965:Q972)</f>
        <v>0</v>
      </c>
      <c r="R956" s="246">
        <f t="shared" ref="R956:Y956" si="416">SUM(R965:R972)</f>
        <v>0</v>
      </c>
      <c r="S956" s="246">
        <f t="shared" si="416"/>
        <v>0</v>
      </c>
      <c r="T956" s="246">
        <f t="shared" si="416"/>
        <v>0</v>
      </c>
      <c r="U956" s="246">
        <f t="shared" si="416"/>
        <v>0</v>
      </c>
      <c r="V956" s="246">
        <f t="shared" si="416"/>
        <v>0</v>
      </c>
      <c r="W956" s="246">
        <f t="shared" si="416"/>
        <v>0</v>
      </c>
      <c r="X956" s="246">
        <f t="shared" si="416"/>
        <v>0</v>
      </c>
      <c r="Y956" s="246">
        <f t="shared" si="416"/>
        <v>0</v>
      </c>
      <c r="Z956" s="246">
        <f>SUM(Z965:Z972)</f>
        <v>0</v>
      </c>
    </row>
    <row r="957" spans="1:26" hidden="1" outlineLevel="2">
      <c r="A957" s="19"/>
      <c r="B957" s="323"/>
      <c r="C957" s="207"/>
      <c r="D957" s="208"/>
      <c r="E957" s="133"/>
      <c r="F957" s="261"/>
      <c r="G957" s="138"/>
      <c r="H957" s="135"/>
      <c r="I957" s="206"/>
      <c r="J957" s="206"/>
      <c r="K957" s="206"/>
      <c r="L957" s="137"/>
      <c r="M957" s="163"/>
      <c r="N957" s="163"/>
      <c r="O957" s="163"/>
      <c r="P957" s="205"/>
      <c r="Q957" s="236">
        <f>SUM(R957,U957)</f>
        <v>0</v>
      </c>
      <c r="R957" s="236">
        <f>SUM(S957:T957)</f>
        <v>0</v>
      </c>
      <c r="S957" s="236"/>
      <c r="T957" s="236"/>
      <c r="U957" s="236">
        <f>SUM(V957:Y957)</f>
        <v>0</v>
      </c>
      <c r="V957" s="236"/>
      <c r="W957" s="232">
        <f>V957*0.304</f>
        <v>0</v>
      </c>
      <c r="X957" s="236"/>
      <c r="Y957" s="236"/>
      <c r="Z957" s="236"/>
    </row>
    <row r="958" spans="1:26" hidden="1" outlineLevel="2">
      <c r="A958" s="19"/>
      <c r="B958" s="323"/>
      <c r="C958" s="207"/>
      <c r="D958" s="208"/>
      <c r="E958" s="133"/>
      <c r="F958" s="261"/>
      <c r="G958" s="138"/>
      <c r="H958" s="135"/>
      <c r="I958" s="206"/>
      <c r="J958" s="206"/>
      <c r="K958" s="206"/>
      <c r="L958" s="137"/>
      <c r="M958" s="163"/>
      <c r="N958" s="163"/>
      <c r="O958" s="163"/>
      <c r="P958" s="205"/>
      <c r="Q958" s="236">
        <f t="shared" ref="Q958:Q964" si="417">SUM(R958,U958)</f>
        <v>0</v>
      </c>
      <c r="R958" s="236">
        <f t="shared" ref="R958:R963" si="418">SUM(S958:T958)</f>
        <v>0</v>
      </c>
      <c r="S958" s="236"/>
      <c r="T958" s="236"/>
      <c r="U958" s="236">
        <f t="shared" ref="U958:U964" si="419">SUM(V958:Y958)</f>
        <v>0</v>
      </c>
      <c r="V958" s="236"/>
      <c r="W958" s="232">
        <f t="shared" ref="W958:W964" si="420">V958*0.304</f>
        <v>0</v>
      </c>
      <c r="X958" s="236"/>
      <c r="Y958" s="236"/>
      <c r="Z958" s="236"/>
    </row>
    <row r="959" spans="1:26" hidden="1" outlineLevel="2">
      <c r="A959" s="19"/>
      <c r="B959" s="323"/>
      <c r="C959" s="207"/>
      <c r="D959" s="208"/>
      <c r="E959" s="133"/>
      <c r="F959" s="261"/>
      <c r="G959" s="138"/>
      <c r="H959" s="135"/>
      <c r="I959" s="206"/>
      <c r="J959" s="206"/>
      <c r="K959" s="206"/>
      <c r="L959" s="137"/>
      <c r="M959" s="163"/>
      <c r="N959" s="163"/>
      <c r="O959" s="163"/>
      <c r="P959" s="205"/>
      <c r="Q959" s="236">
        <f t="shared" si="417"/>
        <v>0</v>
      </c>
      <c r="R959" s="236">
        <f t="shared" si="418"/>
        <v>0</v>
      </c>
      <c r="S959" s="236"/>
      <c r="T959" s="236"/>
      <c r="U959" s="236">
        <f t="shared" si="419"/>
        <v>0</v>
      </c>
      <c r="V959" s="236"/>
      <c r="W959" s="232">
        <f t="shared" si="420"/>
        <v>0</v>
      </c>
      <c r="X959" s="236"/>
      <c r="Y959" s="236"/>
      <c r="Z959" s="236"/>
    </row>
    <row r="960" spans="1:26" hidden="1" outlineLevel="2">
      <c r="A960" s="19"/>
      <c r="B960" s="323"/>
      <c r="C960" s="207"/>
      <c r="D960" s="208"/>
      <c r="E960" s="133"/>
      <c r="F960" s="261"/>
      <c r="G960" s="138"/>
      <c r="H960" s="135"/>
      <c r="I960" s="206"/>
      <c r="J960" s="206"/>
      <c r="K960" s="206"/>
      <c r="L960" s="137"/>
      <c r="M960" s="163"/>
      <c r="N960" s="163"/>
      <c r="O960" s="163"/>
      <c r="P960" s="205"/>
      <c r="Q960" s="236">
        <f t="shared" si="417"/>
        <v>0</v>
      </c>
      <c r="R960" s="236">
        <f t="shared" si="418"/>
        <v>0</v>
      </c>
      <c r="S960" s="236"/>
      <c r="T960" s="236"/>
      <c r="U960" s="236">
        <f t="shared" si="419"/>
        <v>0</v>
      </c>
      <c r="V960" s="236"/>
      <c r="W960" s="232">
        <f t="shared" si="420"/>
        <v>0</v>
      </c>
      <c r="X960" s="236"/>
      <c r="Y960" s="236"/>
      <c r="Z960" s="236"/>
    </row>
    <row r="961" spans="1:26" hidden="1" outlineLevel="2">
      <c r="A961" s="19"/>
      <c r="B961" s="323"/>
      <c r="C961" s="207"/>
      <c r="D961" s="208"/>
      <c r="E961" s="133"/>
      <c r="F961" s="261"/>
      <c r="G961" s="138"/>
      <c r="H961" s="135"/>
      <c r="I961" s="206"/>
      <c r="J961" s="206"/>
      <c r="K961" s="206"/>
      <c r="L961" s="137"/>
      <c r="M961" s="163"/>
      <c r="N961" s="163"/>
      <c r="O961" s="163"/>
      <c r="P961" s="205"/>
      <c r="Q961" s="236">
        <f t="shared" si="417"/>
        <v>0</v>
      </c>
      <c r="R961" s="236">
        <f t="shared" si="418"/>
        <v>0</v>
      </c>
      <c r="S961" s="236"/>
      <c r="T961" s="236"/>
      <c r="U961" s="236">
        <f t="shared" si="419"/>
        <v>0</v>
      </c>
      <c r="V961" s="236"/>
      <c r="W961" s="232">
        <f t="shared" si="420"/>
        <v>0</v>
      </c>
      <c r="X961" s="236"/>
      <c r="Y961" s="236"/>
      <c r="Z961" s="236"/>
    </row>
    <row r="962" spans="1:26" hidden="1" outlineLevel="2">
      <c r="A962" s="160"/>
      <c r="B962" s="323"/>
      <c r="C962" s="207"/>
      <c r="D962" s="208"/>
      <c r="E962" s="133"/>
      <c r="F962" s="261"/>
      <c r="G962" s="138"/>
      <c r="H962" s="139"/>
      <c r="I962" s="206"/>
      <c r="J962" s="206"/>
      <c r="K962" s="206"/>
      <c r="L962" s="137"/>
      <c r="M962" s="74"/>
      <c r="N962" s="74"/>
      <c r="O962" s="234"/>
      <c r="P962" s="205"/>
      <c r="Q962" s="236">
        <f t="shared" si="417"/>
        <v>0</v>
      </c>
      <c r="R962" s="236">
        <f t="shared" si="418"/>
        <v>0</v>
      </c>
      <c r="S962" s="235"/>
      <c r="T962" s="235"/>
      <c r="U962" s="236">
        <f t="shared" si="419"/>
        <v>0</v>
      </c>
      <c r="V962" s="235"/>
      <c r="W962" s="232">
        <f t="shared" si="420"/>
        <v>0</v>
      </c>
      <c r="X962" s="235"/>
      <c r="Y962" s="235"/>
      <c r="Z962" s="235"/>
    </row>
    <row r="963" spans="1:26" hidden="1" outlineLevel="2">
      <c r="A963" s="160"/>
      <c r="B963" s="323"/>
      <c r="C963" s="207"/>
      <c r="D963" s="208"/>
      <c r="E963" s="133"/>
      <c r="F963" s="261"/>
      <c r="G963" s="138"/>
      <c r="H963" s="139"/>
      <c r="I963" s="206"/>
      <c r="J963" s="206"/>
      <c r="K963" s="206"/>
      <c r="L963" s="137"/>
      <c r="M963" s="74"/>
      <c r="N963" s="19"/>
      <c r="O963" s="234"/>
      <c r="P963" s="205"/>
      <c r="Q963" s="236">
        <f t="shared" si="417"/>
        <v>0</v>
      </c>
      <c r="R963" s="236">
        <f t="shared" si="418"/>
        <v>0</v>
      </c>
      <c r="S963" s="235"/>
      <c r="T963" s="235"/>
      <c r="U963" s="236">
        <f t="shared" si="419"/>
        <v>0</v>
      </c>
      <c r="V963" s="235"/>
      <c r="W963" s="232">
        <f t="shared" si="420"/>
        <v>0</v>
      </c>
      <c r="X963" s="235"/>
      <c r="Y963" s="235"/>
      <c r="Z963" s="235"/>
    </row>
    <row r="964" spans="1:26" hidden="1" outlineLevel="2">
      <c r="A964" s="160"/>
      <c r="B964" s="323"/>
      <c r="C964" s="207"/>
      <c r="D964" s="208"/>
      <c r="E964" s="133"/>
      <c r="F964" s="261"/>
      <c r="G964" s="138"/>
      <c r="H964" s="139"/>
      <c r="I964" s="206"/>
      <c r="J964" s="206"/>
      <c r="K964" s="206"/>
      <c r="L964" s="137"/>
      <c r="M964" s="74"/>
      <c r="N964" s="19"/>
      <c r="O964" s="234"/>
      <c r="P964" s="205"/>
      <c r="Q964" s="236">
        <f t="shared" si="417"/>
        <v>0</v>
      </c>
      <c r="R964" s="236">
        <f>SUM(S964:T964)</f>
        <v>0</v>
      </c>
      <c r="S964" s="235"/>
      <c r="T964" s="235"/>
      <c r="U964" s="236">
        <f t="shared" si="419"/>
        <v>0</v>
      </c>
      <c r="V964" s="235"/>
      <c r="W964" s="232">
        <f t="shared" si="420"/>
        <v>0</v>
      </c>
      <c r="X964" s="235"/>
      <c r="Y964" s="235"/>
      <c r="Z964" s="235"/>
    </row>
    <row r="965" spans="1:26" hidden="1" outlineLevel="2">
      <c r="A965" s="19"/>
      <c r="B965" s="323"/>
      <c r="C965" s="207"/>
      <c r="D965" s="208"/>
      <c r="E965" s="133"/>
      <c r="F965" s="261"/>
      <c r="G965" s="138"/>
      <c r="H965" s="135"/>
      <c r="I965" s="206"/>
      <c r="J965" s="206"/>
      <c r="K965" s="206"/>
      <c r="L965" s="137"/>
      <c r="M965" s="163"/>
      <c r="N965" s="163"/>
      <c r="O965" s="163"/>
      <c r="P965" s="205"/>
      <c r="Q965" s="236">
        <f>SUM(R965,U965)</f>
        <v>0</v>
      </c>
      <c r="R965" s="236">
        <f>SUM(S965:T965)</f>
        <v>0</v>
      </c>
      <c r="S965" s="236"/>
      <c r="T965" s="236"/>
      <c r="U965" s="236">
        <f>SUM(V965:Y965)</f>
        <v>0</v>
      </c>
      <c r="V965" s="236"/>
      <c r="W965" s="232">
        <f>V965*0.304</f>
        <v>0</v>
      </c>
      <c r="X965" s="236"/>
      <c r="Y965" s="236"/>
      <c r="Z965" s="236"/>
    </row>
    <row r="966" spans="1:26" hidden="1" outlineLevel="2">
      <c r="A966" s="19"/>
      <c r="B966" s="323"/>
      <c r="C966" s="207"/>
      <c r="D966" s="208"/>
      <c r="E966" s="133"/>
      <c r="F966" s="261"/>
      <c r="G966" s="138"/>
      <c r="H966" s="135"/>
      <c r="I966" s="206"/>
      <c r="J966" s="206"/>
      <c r="K966" s="206"/>
      <c r="L966" s="137"/>
      <c r="M966" s="163"/>
      <c r="N966" s="163"/>
      <c r="O966" s="163"/>
      <c r="P966" s="205"/>
      <c r="Q966" s="236">
        <f t="shared" ref="Q966:Q972" si="421">SUM(R966,U966)</f>
        <v>0</v>
      </c>
      <c r="R966" s="236">
        <f t="shared" ref="R966:R971" si="422">SUM(S966:T966)</f>
        <v>0</v>
      </c>
      <c r="S966" s="236"/>
      <c r="T966" s="236"/>
      <c r="U966" s="236">
        <f t="shared" ref="U966:U972" si="423">SUM(V966:Y966)</f>
        <v>0</v>
      </c>
      <c r="V966" s="236"/>
      <c r="W966" s="232">
        <f t="shared" ref="W966:W972" si="424">V966*0.304</f>
        <v>0</v>
      </c>
      <c r="X966" s="236"/>
      <c r="Y966" s="236"/>
      <c r="Z966" s="236"/>
    </row>
    <row r="967" spans="1:26" hidden="1" outlineLevel="2">
      <c r="A967" s="19"/>
      <c r="B967" s="323"/>
      <c r="C967" s="207"/>
      <c r="D967" s="208"/>
      <c r="E967" s="133"/>
      <c r="F967" s="261"/>
      <c r="G967" s="138"/>
      <c r="H967" s="135"/>
      <c r="I967" s="206"/>
      <c r="J967" s="206"/>
      <c r="K967" s="206"/>
      <c r="L967" s="137"/>
      <c r="M967" s="163"/>
      <c r="N967" s="163"/>
      <c r="O967" s="163"/>
      <c r="P967" s="205"/>
      <c r="Q967" s="236">
        <f t="shared" si="421"/>
        <v>0</v>
      </c>
      <c r="R967" s="236">
        <f t="shared" si="422"/>
        <v>0</v>
      </c>
      <c r="S967" s="236"/>
      <c r="T967" s="236"/>
      <c r="U967" s="236">
        <f t="shared" si="423"/>
        <v>0</v>
      </c>
      <c r="V967" s="236"/>
      <c r="W967" s="232">
        <f t="shared" si="424"/>
        <v>0</v>
      </c>
      <c r="X967" s="236"/>
      <c r="Y967" s="236"/>
      <c r="Z967" s="236"/>
    </row>
    <row r="968" spans="1:26" hidden="1" outlineLevel="2">
      <c r="A968" s="19"/>
      <c r="B968" s="323"/>
      <c r="C968" s="207"/>
      <c r="D968" s="208"/>
      <c r="E968" s="133"/>
      <c r="F968" s="261"/>
      <c r="G968" s="138"/>
      <c r="H968" s="135"/>
      <c r="I968" s="206"/>
      <c r="J968" s="206"/>
      <c r="K968" s="206"/>
      <c r="L968" s="137"/>
      <c r="M968" s="163"/>
      <c r="N968" s="163"/>
      <c r="O968" s="163"/>
      <c r="P968" s="205"/>
      <c r="Q968" s="236">
        <f t="shared" si="421"/>
        <v>0</v>
      </c>
      <c r="R968" s="236">
        <f t="shared" si="422"/>
        <v>0</v>
      </c>
      <c r="S968" s="236"/>
      <c r="T968" s="236"/>
      <c r="U968" s="236">
        <f t="shared" si="423"/>
        <v>0</v>
      </c>
      <c r="V968" s="236"/>
      <c r="W968" s="232">
        <f t="shared" si="424"/>
        <v>0</v>
      </c>
      <c r="X968" s="236"/>
      <c r="Y968" s="236"/>
      <c r="Z968" s="236"/>
    </row>
    <row r="969" spans="1:26" hidden="1" outlineLevel="2">
      <c r="A969" s="19"/>
      <c r="B969" s="323"/>
      <c r="C969" s="207"/>
      <c r="D969" s="208"/>
      <c r="E969" s="133"/>
      <c r="F969" s="261"/>
      <c r="G969" s="138"/>
      <c r="H969" s="135"/>
      <c r="I969" s="206"/>
      <c r="J969" s="206"/>
      <c r="K969" s="206"/>
      <c r="L969" s="137"/>
      <c r="M969" s="163"/>
      <c r="N969" s="163"/>
      <c r="O969" s="163"/>
      <c r="P969" s="205"/>
      <c r="Q969" s="236">
        <f t="shared" si="421"/>
        <v>0</v>
      </c>
      <c r="R969" s="236">
        <f t="shared" si="422"/>
        <v>0</v>
      </c>
      <c r="S969" s="236"/>
      <c r="T969" s="236"/>
      <c r="U969" s="236">
        <f t="shared" si="423"/>
        <v>0</v>
      </c>
      <c r="V969" s="236"/>
      <c r="W969" s="232">
        <f t="shared" si="424"/>
        <v>0</v>
      </c>
      <c r="X969" s="236"/>
      <c r="Y969" s="236"/>
      <c r="Z969" s="236"/>
    </row>
    <row r="970" spans="1:26" hidden="1" outlineLevel="2">
      <c r="A970" s="160"/>
      <c r="B970" s="323"/>
      <c r="C970" s="207"/>
      <c r="D970" s="208"/>
      <c r="E970" s="133"/>
      <c r="F970" s="261"/>
      <c r="G970" s="138"/>
      <c r="H970" s="139"/>
      <c r="I970" s="206"/>
      <c r="J970" s="206"/>
      <c r="K970" s="206"/>
      <c r="L970" s="137"/>
      <c r="M970" s="74"/>
      <c r="N970" s="74"/>
      <c r="O970" s="234"/>
      <c r="P970" s="205"/>
      <c r="Q970" s="236">
        <f t="shared" si="421"/>
        <v>0</v>
      </c>
      <c r="R970" s="236">
        <f t="shared" si="422"/>
        <v>0</v>
      </c>
      <c r="S970" s="235"/>
      <c r="T970" s="235"/>
      <c r="U970" s="236">
        <f t="shared" si="423"/>
        <v>0</v>
      </c>
      <c r="V970" s="235"/>
      <c r="W970" s="232">
        <f t="shared" si="424"/>
        <v>0</v>
      </c>
      <c r="X970" s="235"/>
      <c r="Y970" s="235"/>
      <c r="Z970" s="235"/>
    </row>
    <row r="971" spans="1:26" hidden="1" outlineLevel="2">
      <c r="A971" s="160"/>
      <c r="B971" s="323"/>
      <c r="C971" s="207"/>
      <c r="D971" s="208"/>
      <c r="E971" s="133"/>
      <c r="F971" s="261"/>
      <c r="G971" s="138"/>
      <c r="H971" s="139"/>
      <c r="I971" s="206"/>
      <c r="J971" s="206"/>
      <c r="K971" s="206"/>
      <c r="L971" s="137"/>
      <c r="M971" s="74"/>
      <c r="N971" s="19"/>
      <c r="O971" s="234"/>
      <c r="P971" s="205"/>
      <c r="Q971" s="236">
        <f t="shared" si="421"/>
        <v>0</v>
      </c>
      <c r="R971" s="236">
        <f t="shared" si="422"/>
        <v>0</v>
      </c>
      <c r="S971" s="235"/>
      <c r="T971" s="235"/>
      <c r="U971" s="236">
        <f t="shared" si="423"/>
        <v>0</v>
      </c>
      <c r="V971" s="235"/>
      <c r="W971" s="232">
        <f t="shared" si="424"/>
        <v>0</v>
      </c>
      <c r="X971" s="235"/>
      <c r="Y971" s="235"/>
      <c r="Z971" s="235"/>
    </row>
    <row r="972" spans="1:26" hidden="1" outlineLevel="2">
      <c r="A972" s="160"/>
      <c r="B972" s="323"/>
      <c r="C972" s="207"/>
      <c r="D972" s="208"/>
      <c r="E972" s="133"/>
      <c r="F972" s="261"/>
      <c r="G972" s="138"/>
      <c r="H972" s="139"/>
      <c r="I972" s="206"/>
      <c r="J972" s="206"/>
      <c r="K972" s="206"/>
      <c r="L972" s="137"/>
      <c r="M972" s="74"/>
      <c r="N972" s="19"/>
      <c r="O972" s="234"/>
      <c r="P972" s="205"/>
      <c r="Q972" s="236">
        <f t="shared" si="421"/>
        <v>0</v>
      </c>
      <c r="R972" s="236">
        <f>SUM(S972:T972)</f>
        <v>0</v>
      </c>
      <c r="S972" s="235"/>
      <c r="T972" s="235"/>
      <c r="U972" s="236">
        <f t="shared" si="423"/>
        <v>0</v>
      </c>
      <c r="V972" s="235"/>
      <c r="W972" s="232">
        <f t="shared" si="424"/>
        <v>0</v>
      </c>
      <c r="X972" s="235"/>
      <c r="Y972" s="235"/>
      <c r="Z972" s="235"/>
    </row>
    <row r="973" spans="1:26" hidden="1" outlineLevel="2">
      <c r="A973" s="160"/>
      <c r="B973" s="74"/>
      <c r="C973" s="207"/>
      <c r="D973" s="208"/>
      <c r="E973" s="133"/>
      <c r="F973" s="261"/>
      <c r="G973" s="138"/>
      <c r="H973" s="139"/>
      <c r="I973" s="206"/>
      <c r="J973" s="206"/>
      <c r="K973" s="206"/>
      <c r="L973" s="137"/>
      <c r="M973" s="74"/>
      <c r="N973" s="19"/>
      <c r="O973" s="234"/>
      <c r="P973" s="205"/>
      <c r="Q973" s="235"/>
      <c r="R973" s="235"/>
      <c r="S973" s="235"/>
      <c r="T973" s="235"/>
      <c r="U973" s="235"/>
      <c r="V973" s="235"/>
      <c r="W973" s="235"/>
      <c r="X973" s="235"/>
      <c r="Y973" s="235"/>
      <c r="Z973" s="235"/>
    </row>
    <row r="974" spans="1:26" s="75" customFormat="1" outlineLevel="1" collapsed="1">
      <c r="A974" s="237"/>
      <c r="B974" s="238"/>
      <c r="C974" s="239"/>
      <c r="D974" s="240"/>
      <c r="E974" s="241"/>
      <c r="F974" s="264"/>
      <c r="G974" s="242"/>
      <c r="H974" s="243"/>
      <c r="I974" s="244"/>
      <c r="J974" s="244"/>
      <c r="K974" s="244"/>
      <c r="L974" s="150" t="str">
        <f>CONCATENATE(L975," ",N975,M975," ",L976," ",N976,M976," ",L977," ",N977,M977," ",L978," ",N978,M978," ",L979," ",N979,M979," ",L980," ",N980,M980," ",L981," ",N981,M981," ",L982," ",N982,M982," ",L983," ",N983,M983," ",L984," ",N984,M984," "," ",L985," ",N985,M985," ",L986," ",N986,M986," ",L987," ",N987,M987," ",L988," ",N988,M988," ",L989," ",N989,M989," ",L990," ",N990,M990)</f>
        <v xml:space="preserve">                                </v>
      </c>
      <c r="M974" s="243"/>
      <c r="N974" s="243"/>
      <c r="O974" s="287">
        <f>SUM(O983:O990)</f>
        <v>0</v>
      </c>
      <c r="P974" s="245"/>
      <c r="Q974" s="246">
        <f>SUM(Q983:Q990)</f>
        <v>0</v>
      </c>
      <c r="R974" s="246">
        <f t="shared" ref="R974:Y974" si="425">SUM(R983:R990)</f>
        <v>0</v>
      </c>
      <c r="S974" s="246">
        <f t="shared" si="425"/>
        <v>0</v>
      </c>
      <c r="T974" s="246">
        <f t="shared" si="425"/>
        <v>0</v>
      </c>
      <c r="U974" s="246">
        <f t="shared" si="425"/>
        <v>0</v>
      </c>
      <c r="V974" s="246">
        <f t="shared" si="425"/>
        <v>0</v>
      </c>
      <c r="W974" s="246">
        <f t="shared" si="425"/>
        <v>0</v>
      </c>
      <c r="X974" s="246">
        <f t="shared" si="425"/>
        <v>0</v>
      </c>
      <c r="Y974" s="246">
        <f t="shared" si="425"/>
        <v>0</v>
      </c>
      <c r="Z974" s="246">
        <f>SUM(Z983:Z990)</f>
        <v>0</v>
      </c>
    </row>
    <row r="975" spans="1:26" hidden="1" outlineLevel="2">
      <c r="A975" s="19"/>
      <c r="B975" s="323"/>
      <c r="C975" s="207"/>
      <c r="D975" s="208"/>
      <c r="E975" s="133"/>
      <c r="F975" s="261"/>
      <c r="G975" s="138"/>
      <c r="H975" s="135"/>
      <c r="I975" s="206"/>
      <c r="J975" s="206"/>
      <c r="K975" s="206"/>
      <c r="L975" s="137"/>
      <c r="M975" s="163"/>
      <c r="N975" s="163"/>
      <c r="O975" s="163"/>
      <c r="P975" s="205"/>
      <c r="Q975" s="236">
        <f>SUM(R975,U975)</f>
        <v>0</v>
      </c>
      <c r="R975" s="236">
        <f>SUM(S975:T975)</f>
        <v>0</v>
      </c>
      <c r="S975" s="236"/>
      <c r="T975" s="236"/>
      <c r="U975" s="236">
        <f>SUM(V975:Y975)</f>
        <v>0</v>
      </c>
      <c r="V975" s="236"/>
      <c r="W975" s="232">
        <f>V975*0.304</f>
        <v>0</v>
      </c>
      <c r="X975" s="236"/>
      <c r="Y975" s="236"/>
      <c r="Z975" s="236"/>
    </row>
    <row r="976" spans="1:26" hidden="1" outlineLevel="2">
      <c r="A976" s="19"/>
      <c r="B976" s="323"/>
      <c r="C976" s="207"/>
      <c r="D976" s="208"/>
      <c r="E976" s="133"/>
      <c r="F976" s="261"/>
      <c r="G976" s="138"/>
      <c r="H976" s="135"/>
      <c r="I976" s="206"/>
      <c r="J976" s="206"/>
      <c r="K976" s="206"/>
      <c r="L976" s="137"/>
      <c r="M976" s="163"/>
      <c r="N976" s="163"/>
      <c r="O976" s="163"/>
      <c r="P976" s="205"/>
      <c r="Q976" s="236">
        <f t="shared" ref="Q976:Q982" si="426">SUM(R976,U976)</f>
        <v>0</v>
      </c>
      <c r="R976" s="236">
        <f t="shared" ref="R976:R981" si="427">SUM(S976:T976)</f>
        <v>0</v>
      </c>
      <c r="S976" s="236"/>
      <c r="T976" s="236"/>
      <c r="U976" s="236">
        <f t="shared" ref="U976:U982" si="428">SUM(V976:Y976)</f>
        <v>0</v>
      </c>
      <c r="V976" s="236"/>
      <c r="W976" s="232">
        <f t="shared" ref="W976:W982" si="429">V976*0.304</f>
        <v>0</v>
      </c>
      <c r="X976" s="236"/>
      <c r="Y976" s="236"/>
      <c r="Z976" s="236"/>
    </row>
    <row r="977" spans="1:26" hidden="1" outlineLevel="2">
      <c r="A977" s="19"/>
      <c r="B977" s="323"/>
      <c r="C977" s="207"/>
      <c r="D977" s="208"/>
      <c r="E977" s="133"/>
      <c r="F977" s="261"/>
      <c r="G977" s="138"/>
      <c r="H977" s="135"/>
      <c r="I977" s="206"/>
      <c r="J977" s="206"/>
      <c r="K977" s="206"/>
      <c r="L977" s="137"/>
      <c r="M977" s="163"/>
      <c r="N977" s="163"/>
      <c r="O977" s="163"/>
      <c r="P977" s="205"/>
      <c r="Q977" s="236">
        <f t="shared" si="426"/>
        <v>0</v>
      </c>
      <c r="R977" s="236">
        <f t="shared" si="427"/>
        <v>0</v>
      </c>
      <c r="S977" s="236"/>
      <c r="T977" s="236"/>
      <c r="U977" s="236">
        <f t="shared" si="428"/>
        <v>0</v>
      </c>
      <c r="V977" s="236"/>
      <c r="W977" s="232">
        <f t="shared" si="429"/>
        <v>0</v>
      </c>
      <c r="X977" s="236"/>
      <c r="Y977" s="236"/>
      <c r="Z977" s="236"/>
    </row>
    <row r="978" spans="1:26" hidden="1" outlineLevel="2">
      <c r="A978" s="19"/>
      <c r="B978" s="323"/>
      <c r="C978" s="207"/>
      <c r="D978" s="208"/>
      <c r="E978" s="133"/>
      <c r="F978" s="261"/>
      <c r="G978" s="138"/>
      <c r="H978" s="135"/>
      <c r="I978" s="206"/>
      <c r="J978" s="206"/>
      <c r="K978" s="206"/>
      <c r="L978" s="137"/>
      <c r="M978" s="163"/>
      <c r="N978" s="163"/>
      <c r="O978" s="163"/>
      <c r="P978" s="205"/>
      <c r="Q978" s="236">
        <f t="shared" si="426"/>
        <v>0</v>
      </c>
      <c r="R978" s="236">
        <f t="shared" si="427"/>
        <v>0</v>
      </c>
      <c r="S978" s="236"/>
      <c r="T978" s="236"/>
      <c r="U978" s="236">
        <f t="shared" si="428"/>
        <v>0</v>
      </c>
      <c r="V978" s="236"/>
      <c r="W978" s="232">
        <f t="shared" si="429"/>
        <v>0</v>
      </c>
      <c r="X978" s="236"/>
      <c r="Y978" s="236"/>
      <c r="Z978" s="236"/>
    </row>
    <row r="979" spans="1:26" hidden="1" outlineLevel="2">
      <c r="A979" s="19"/>
      <c r="B979" s="323"/>
      <c r="C979" s="207"/>
      <c r="D979" s="208"/>
      <c r="E979" s="133"/>
      <c r="F979" s="261"/>
      <c r="G979" s="138"/>
      <c r="H979" s="135"/>
      <c r="I979" s="206"/>
      <c r="J979" s="206"/>
      <c r="K979" s="206"/>
      <c r="L979" s="137"/>
      <c r="M979" s="163"/>
      <c r="N979" s="163"/>
      <c r="O979" s="163"/>
      <c r="P979" s="205"/>
      <c r="Q979" s="236">
        <f t="shared" si="426"/>
        <v>0</v>
      </c>
      <c r="R979" s="236">
        <f t="shared" si="427"/>
        <v>0</v>
      </c>
      <c r="S979" s="236"/>
      <c r="T979" s="236"/>
      <c r="U979" s="236">
        <f t="shared" si="428"/>
        <v>0</v>
      </c>
      <c r="V979" s="236"/>
      <c r="W979" s="232">
        <f t="shared" si="429"/>
        <v>0</v>
      </c>
      <c r="X979" s="236"/>
      <c r="Y979" s="236"/>
      <c r="Z979" s="236"/>
    </row>
    <row r="980" spans="1:26" hidden="1" outlineLevel="2">
      <c r="A980" s="160"/>
      <c r="B980" s="323"/>
      <c r="C980" s="207"/>
      <c r="D980" s="208"/>
      <c r="E980" s="133"/>
      <c r="F980" s="261"/>
      <c r="G980" s="138"/>
      <c r="H980" s="139"/>
      <c r="I980" s="206"/>
      <c r="J980" s="206"/>
      <c r="K980" s="206"/>
      <c r="L980" s="137"/>
      <c r="M980" s="74"/>
      <c r="N980" s="74"/>
      <c r="O980" s="234"/>
      <c r="P980" s="205"/>
      <c r="Q980" s="236">
        <f t="shared" si="426"/>
        <v>0</v>
      </c>
      <c r="R980" s="236">
        <f t="shared" si="427"/>
        <v>0</v>
      </c>
      <c r="S980" s="235"/>
      <c r="T980" s="235"/>
      <c r="U980" s="236">
        <f t="shared" si="428"/>
        <v>0</v>
      </c>
      <c r="V980" s="235"/>
      <c r="W980" s="232">
        <f t="shared" si="429"/>
        <v>0</v>
      </c>
      <c r="X980" s="235"/>
      <c r="Y980" s="235"/>
      <c r="Z980" s="235"/>
    </row>
    <row r="981" spans="1:26" hidden="1" outlineLevel="2">
      <c r="A981" s="160"/>
      <c r="B981" s="323"/>
      <c r="C981" s="207"/>
      <c r="D981" s="208"/>
      <c r="E981" s="133"/>
      <c r="F981" s="261"/>
      <c r="G981" s="138"/>
      <c r="H981" s="139"/>
      <c r="I981" s="206"/>
      <c r="J981" s="206"/>
      <c r="K981" s="206"/>
      <c r="L981" s="137"/>
      <c r="M981" s="74"/>
      <c r="N981" s="19"/>
      <c r="O981" s="234"/>
      <c r="P981" s="205"/>
      <c r="Q981" s="236">
        <f t="shared" si="426"/>
        <v>0</v>
      </c>
      <c r="R981" s="236">
        <f t="shared" si="427"/>
        <v>0</v>
      </c>
      <c r="S981" s="235"/>
      <c r="T981" s="235"/>
      <c r="U981" s="236">
        <f t="shared" si="428"/>
        <v>0</v>
      </c>
      <c r="V981" s="235"/>
      <c r="W981" s="232">
        <f t="shared" si="429"/>
        <v>0</v>
      </c>
      <c r="X981" s="235"/>
      <c r="Y981" s="235"/>
      <c r="Z981" s="235"/>
    </row>
    <row r="982" spans="1:26" hidden="1" outlineLevel="2">
      <c r="A982" s="160"/>
      <c r="B982" s="323"/>
      <c r="C982" s="207"/>
      <c r="D982" s="208"/>
      <c r="E982" s="133"/>
      <c r="F982" s="261"/>
      <c r="G982" s="138"/>
      <c r="H982" s="139"/>
      <c r="I982" s="206"/>
      <c r="J982" s="206"/>
      <c r="K982" s="206"/>
      <c r="L982" s="137"/>
      <c r="M982" s="74"/>
      <c r="N982" s="19"/>
      <c r="O982" s="234"/>
      <c r="P982" s="205"/>
      <c r="Q982" s="236">
        <f t="shared" si="426"/>
        <v>0</v>
      </c>
      <c r="R982" s="236">
        <f>SUM(S982:T982)</f>
        <v>0</v>
      </c>
      <c r="S982" s="235"/>
      <c r="T982" s="235"/>
      <c r="U982" s="236">
        <f t="shared" si="428"/>
        <v>0</v>
      </c>
      <c r="V982" s="235"/>
      <c r="W982" s="232">
        <f t="shared" si="429"/>
        <v>0</v>
      </c>
      <c r="X982" s="235"/>
      <c r="Y982" s="235"/>
      <c r="Z982" s="235"/>
    </row>
    <row r="983" spans="1:26" hidden="1" outlineLevel="2">
      <c r="A983" s="19"/>
      <c r="B983" s="323"/>
      <c r="C983" s="207"/>
      <c r="D983" s="208"/>
      <c r="E983" s="133"/>
      <c r="F983" s="261"/>
      <c r="G983" s="138"/>
      <c r="H983" s="135"/>
      <c r="I983" s="206"/>
      <c r="J983" s="206"/>
      <c r="K983" s="206"/>
      <c r="L983" s="137"/>
      <c r="M983" s="163"/>
      <c r="N983" s="163"/>
      <c r="O983" s="163"/>
      <c r="P983" s="205"/>
      <c r="Q983" s="236">
        <f>SUM(R983,U983)</f>
        <v>0</v>
      </c>
      <c r="R983" s="236">
        <f>SUM(S983:T983)</f>
        <v>0</v>
      </c>
      <c r="S983" s="236"/>
      <c r="T983" s="236"/>
      <c r="U983" s="236">
        <f>SUM(V983:Y983)</f>
        <v>0</v>
      </c>
      <c r="V983" s="236"/>
      <c r="W983" s="232">
        <f>V983*0.304</f>
        <v>0</v>
      </c>
      <c r="X983" s="236"/>
      <c r="Y983" s="236"/>
      <c r="Z983" s="236"/>
    </row>
    <row r="984" spans="1:26" hidden="1" outlineLevel="2">
      <c r="A984" s="19"/>
      <c r="B984" s="323"/>
      <c r="C984" s="207"/>
      <c r="D984" s="208"/>
      <c r="E984" s="133"/>
      <c r="F984" s="261"/>
      <c r="G984" s="138"/>
      <c r="H984" s="135"/>
      <c r="I984" s="206"/>
      <c r="J984" s="206"/>
      <c r="K984" s="206"/>
      <c r="L984" s="137"/>
      <c r="M984" s="163"/>
      <c r="N984" s="163"/>
      <c r="O984" s="163"/>
      <c r="P984" s="205"/>
      <c r="Q984" s="236">
        <f t="shared" ref="Q984:Q990" si="430">SUM(R984,U984)</f>
        <v>0</v>
      </c>
      <c r="R984" s="236">
        <f t="shared" ref="R984:R989" si="431">SUM(S984:T984)</f>
        <v>0</v>
      </c>
      <c r="S984" s="236"/>
      <c r="T984" s="236"/>
      <c r="U984" s="236">
        <f t="shared" ref="U984:U990" si="432">SUM(V984:Y984)</f>
        <v>0</v>
      </c>
      <c r="V984" s="236"/>
      <c r="W984" s="232">
        <f t="shared" ref="W984:W990" si="433">V984*0.304</f>
        <v>0</v>
      </c>
      <c r="X984" s="236"/>
      <c r="Y984" s="236"/>
      <c r="Z984" s="236"/>
    </row>
    <row r="985" spans="1:26" hidden="1" outlineLevel="2">
      <c r="A985" s="19"/>
      <c r="B985" s="323"/>
      <c r="C985" s="207"/>
      <c r="D985" s="208"/>
      <c r="E985" s="133"/>
      <c r="F985" s="261"/>
      <c r="G985" s="138"/>
      <c r="H985" s="135"/>
      <c r="I985" s="206"/>
      <c r="J985" s="206"/>
      <c r="K985" s="206"/>
      <c r="L985" s="137"/>
      <c r="M985" s="163"/>
      <c r="N985" s="163"/>
      <c r="O985" s="163"/>
      <c r="P985" s="205"/>
      <c r="Q985" s="236">
        <f t="shared" si="430"/>
        <v>0</v>
      </c>
      <c r="R985" s="236">
        <f t="shared" si="431"/>
        <v>0</v>
      </c>
      <c r="S985" s="236"/>
      <c r="T985" s="236"/>
      <c r="U985" s="236">
        <f t="shared" si="432"/>
        <v>0</v>
      </c>
      <c r="V985" s="236"/>
      <c r="W985" s="232">
        <f t="shared" si="433"/>
        <v>0</v>
      </c>
      <c r="X985" s="236"/>
      <c r="Y985" s="236"/>
      <c r="Z985" s="236"/>
    </row>
    <row r="986" spans="1:26" hidden="1" outlineLevel="2">
      <c r="A986" s="19"/>
      <c r="B986" s="323"/>
      <c r="C986" s="207"/>
      <c r="D986" s="208"/>
      <c r="E986" s="133"/>
      <c r="F986" s="261"/>
      <c r="G986" s="138"/>
      <c r="H986" s="135"/>
      <c r="I986" s="206"/>
      <c r="J986" s="206"/>
      <c r="K986" s="206"/>
      <c r="L986" s="137"/>
      <c r="M986" s="163"/>
      <c r="N986" s="163"/>
      <c r="O986" s="163"/>
      <c r="P986" s="205"/>
      <c r="Q986" s="236">
        <f t="shared" si="430"/>
        <v>0</v>
      </c>
      <c r="R986" s="236">
        <f t="shared" si="431"/>
        <v>0</v>
      </c>
      <c r="S986" s="236"/>
      <c r="T986" s="236"/>
      <c r="U986" s="236">
        <f t="shared" si="432"/>
        <v>0</v>
      </c>
      <c r="V986" s="236"/>
      <c r="W986" s="232">
        <f t="shared" si="433"/>
        <v>0</v>
      </c>
      <c r="X986" s="236"/>
      <c r="Y986" s="236"/>
      <c r="Z986" s="236"/>
    </row>
    <row r="987" spans="1:26" hidden="1" outlineLevel="2">
      <c r="A987" s="19"/>
      <c r="B987" s="323"/>
      <c r="C987" s="207"/>
      <c r="D987" s="208"/>
      <c r="E987" s="133"/>
      <c r="F987" s="261"/>
      <c r="G987" s="138"/>
      <c r="H987" s="135"/>
      <c r="I987" s="206"/>
      <c r="J987" s="206"/>
      <c r="K987" s="206"/>
      <c r="L987" s="137"/>
      <c r="M987" s="163"/>
      <c r="N987" s="163"/>
      <c r="O987" s="163"/>
      <c r="P987" s="205"/>
      <c r="Q987" s="236">
        <f t="shared" si="430"/>
        <v>0</v>
      </c>
      <c r="R987" s="236">
        <f t="shared" si="431"/>
        <v>0</v>
      </c>
      <c r="S987" s="236"/>
      <c r="T987" s="236"/>
      <c r="U987" s="236">
        <f t="shared" si="432"/>
        <v>0</v>
      </c>
      <c r="V987" s="236"/>
      <c r="W987" s="232">
        <f t="shared" si="433"/>
        <v>0</v>
      </c>
      <c r="X987" s="236"/>
      <c r="Y987" s="236"/>
      <c r="Z987" s="236"/>
    </row>
    <row r="988" spans="1:26" hidden="1" outlineLevel="2">
      <c r="A988" s="160"/>
      <c r="B988" s="323"/>
      <c r="C988" s="207"/>
      <c r="D988" s="208"/>
      <c r="E988" s="133"/>
      <c r="F988" s="261"/>
      <c r="G988" s="138"/>
      <c r="H988" s="139"/>
      <c r="I988" s="206"/>
      <c r="J988" s="206"/>
      <c r="K988" s="206"/>
      <c r="L988" s="137"/>
      <c r="M988" s="74"/>
      <c r="N988" s="74"/>
      <c r="O988" s="234"/>
      <c r="P988" s="205"/>
      <c r="Q988" s="236">
        <f t="shared" si="430"/>
        <v>0</v>
      </c>
      <c r="R988" s="236">
        <f t="shared" si="431"/>
        <v>0</v>
      </c>
      <c r="S988" s="235"/>
      <c r="T988" s="235"/>
      <c r="U988" s="236">
        <f t="shared" si="432"/>
        <v>0</v>
      </c>
      <c r="V988" s="235"/>
      <c r="W988" s="232">
        <f t="shared" si="433"/>
        <v>0</v>
      </c>
      <c r="X988" s="235"/>
      <c r="Y988" s="235"/>
      <c r="Z988" s="235"/>
    </row>
    <row r="989" spans="1:26" hidden="1" outlineLevel="2">
      <c r="A989" s="160"/>
      <c r="B989" s="323"/>
      <c r="C989" s="207"/>
      <c r="D989" s="208"/>
      <c r="E989" s="133"/>
      <c r="F989" s="261"/>
      <c r="G989" s="138"/>
      <c r="H989" s="139"/>
      <c r="I989" s="206"/>
      <c r="J989" s="206"/>
      <c r="K989" s="206"/>
      <c r="L989" s="137"/>
      <c r="M989" s="74"/>
      <c r="N989" s="19"/>
      <c r="O989" s="234"/>
      <c r="P989" s="205"/>
      <c r="Q989" s="236">
        <f t="shared" si="430"/>
        <v>0</v>
      </c>
      <c r="R989" s="236">
        <f t="shared" si="431"/>
        <v>0</v>
      </c>
      <c r="S989" s="235"/>
      <c r="T989" s="235"/>
      <c r="U989" s="236">
        <f t="shared" si="432"/>
        <v>0</v>
      </c>
      <c r="V989" s="235"/>
      <c r="W989" s="232">
        <f t="shared" si="433"/>
        <v>0</v>
      </c>
      <c r="X989" s="235"/>
      <c r="Y989" s="235"/>
      <c r="Z989" s="235"/>
    </row>
    <row r="990" spans="1:26" hidden="1" outlineLevel="2">
      <c r="A990" s="160"/>
      <c r="B990" s="323"/>
      <c r="C990" s="207"/>
      <c r="D990" s="208"/>
      <c r="E990" s="133"/>
      <c r="F990" s="261"/>
      <c r="G990" s="138"/>
      <c r="H990" s="139"/>
      <c r="I990" s="206"/>
      <c r="J990" s="206"/>
      <c r="K990" s="206"/>
      <c r="L990" s="137"/>
      <c r="M990" s="74"/>
      <c r="N990" s="19"/>
      <c r="O990" s="234"/>
      <c r="P990" s="205"/>
      <c r="Q990" s="236">
        <f t="shared" si="430"/>
        <v>0</v>
      </c>
      <c r="R990" s="236">
        <f>SUM(S990:T990)</f>
        <v>0</v>
      </c>
      <c r="S990" s="235"/>
      <c r="T990" s="235"/>
      <c r="U990" s="236">
        <f t="shared" si="432"/>
        <v>0</v>
      </c>
      <c r="V990" s="235"/>
      <c r="W990" s="232">
        <f t="shared" si="433"/>
        <v>0</v>
      </c>
      <c r="X990" s="235"/>
      <c r="Y990" s="235"/>
      <c r="Z990" s="235"/>
    </row>
    <row r="991" spans="1:26" hidden="1" outlineLevel="2">
      <c r="A991" s="160"/>
      <c r="B991" s="74"/>
      <c r="C991" s="207"/>
      <c r="D991" s="208"/>
      <c r="E991" s="133"/>
      <c r="F991" s="261"/>
      <c r="G991" s="138"/>
      <c r="H991" s="139"/>
      <c r="I991" s="206"/>
      <c r="J991" s="206"/>
      <c r="K991" s="206"/>
      <c r="L991" s="137"/>
      <c r="M991" s="74"/>
      <c r="N991" s="19"/>
      <c r="O991" s="234"/>
      <c r="P991" s="205"/>
      <c r="Q991" s="235"/>
      <c r="R991" s="235"/>
      <c r="S991" s="235"/>
      <c r="T991" s="235"/>
      <c r="U991" s="235"/>
      <c r="V991" s="235"/>
      <c r="W991" s="235"/>
      <c r="X991" s="235"/>
      <c r="Y991" s="235"/>
      <c r="Z991" s="235"/>
    </row>
    <row r="992" spans="1:26" s="75" customFormat="1" outlineLevel="1" collapsed="1">
      <c r="A992" s="237"/>
      <c r="B992" s="238"/>
      <c r="C992" s="239"/>
      <c r="D992" s="240"/>
      <c r="E992" s="241"/>
      <c r="F992" s="264"/>
      <c r="G992" s="242"/>
      <c r="H992" s="243"/>
      <c r="I992" s="244"/>
      <c r="J992" s="244"/>
      <c r="K992" s="244"/>
      <c r="L992" s="150" t="str">
        <f>CONCATENATE(L993," ",N993,M993," ",L994," ",N994,M994," ",L995," ",N995,M995," ",L996," ",N996,M996," ",L997," ",N997,M997," ",L998," ",N998,M998," ",L999," ",N999,M999," ",L1000," ",N1000,M1000," ",L1001," ",N1001,M1001," ",L1002," ",N1002,M1002," "," ",L1003," ",N1003,M1003," ",L1004," ",N1004,M1004," ",L1005," ",N1005,M1005," ",L1006," ",N1006,M1006," ",L1007," ",N1007,M1007," ",L1008," ",N1008,M1008)</f>
        <v xml:space="preserve">                                </v>
      </c>
      <c r="M992" s="243"/>
      <c r="N992" s="243"/>
      <c r="O992" s="287">
        <f>SUM(O1001:O1008)</f>
        <v>0</v>
      </c>
      <c r="P992" s="245"/>
      <c r="Q992" s="246">
        <f>SUM(Q1001:Q1008)</f>
        <v>0</v>
      </c>
      <c r="R992" s="246">
        <f t="shared" ref="R992:Y992" si="434">SUM(R1001:R1008)</f>
        <v>0</v>
      </c>
      <c r="S992" s="246">
        <f t="shared" si="434"/>
        <v>0</v>
      </c>
      <c r="T992" s="246">
        <f t="shared" si="434"/>
        <v>0</v>
      </c>
      <c r="U992" s="246">
        <f t="shared" si="434"/>
        <v>0</v>
      </c>
      <c r="V992" s="246">
        <f t="shared" si="434"/>
        <v>0</v>
      </c>
      <c r="W992" s="246">
        <f t="shared" si="434"/>
        <v>0</v>
      </c>
      <c r="X992" s="246">
        <f t="shared" si="434"/>
        <v>0</v>
      </c>
      <c r="Y992" s="246">
        <f t="shared" si="434"/>
        <v>0</v>
      </c>
      <c r="Z992" s="246">
        <f>SUM(Z1001:Z1008)</f>
        <v>0</v>
      </c>
    </row>
    <row r="993" spans="1:26" hidden="1" outlineLevel="2">
      <c r="A993" s="19"/>
      <c r="B993" s="323"/>
      <c r="C993" s="207"/>
      <c r="D993" s="208"/>
      <c r="E993" s="133"/>
      <c r="F993" s="261"/>
      <c r="G993" s="138"/>
      <c r="H993" s="135"/>
      <c r="I993" s="206"/>
      <c r="J993" s="206"/>
      <c r="K993" s="206"/>
      <c r="L993" s="137"/>
      <c r="M993" s="163"/>
      <c r="N993" s="163"/>
      <c r="O993" s="163"/>
      <c r="P993" s="205"/>
      <c r="Q993" s="236">
        <f>SUM(R993,U993)</f>
        <v>0</v>
      </c>
      <c r="R993" s="236">
        <f>SUM(S993:T993)</f>
        <v>0</v>
      </c>
      <c r="S993" s="236"/>
      <c r="T993" s="236"/>
      <c r="U993" s="236">
        <f>SUM(V993:Y993)</f>
        <v>0</v>
      </c>
      <c r="V993" s="236"/>
      <c r="W993" s="232">
        <f>V993*0.304</f>
        <v>0</v>
      </c>
      <c r="X993" s="236"/>
      <c r="Y993" s="236"/>
      <c r="Z993" s="236"/>
    </row>
    <row r="994" spans="1:26" hidden="1" outlineLevel="2">
      <c r="A994" s="19"/>
      <c r="B994" s="323"/>
      <c r="C994" s="207"/>
      <c r="D994" s="208"/>
      <c r="E994" s="133"/>
      <c r="F994" s="261"/>
      <c r="G994" s="138"/>
      <c r="H994" s="135"/>
      <c r="I994" s="206"/>
      <c r="J994" s="206"/>
      <c r="K994" s="206"/>
      <c r="L994" s="137"/>
      <c r="M994" s="163"/>
      <c r="N994" s="163"/>
      <c r="O994" s="163"/>
      <c r="P994" s="205"/>
      <c r="Q994" s="236">
        <f t="shared" ref="Q994:Q1000" si="435">SUM(R994,U994)</f>
        <v>0</v>
      </c>
      <c r="R994" s="236">
        <f t="shared" ref="R994:R999" si="436">SUM(S994:T994)</f>
        <v>0</v>
      </c>
      <c r="S994" s="236"/>
      <c r="T994" s="236"/>
      <c r="U994" s="236">
        <f t="shared" ref="U994:U1000" si="437">SUM(V994:Y994)</f>
        <v>0</v>
      </c>
      <c r="V994" s="236"/>
      <c r="W994" s="232">
        <f t="shared" ref="W994:W1000" si="438">V994*0.304</f>
        <v>0</v>
      </c>
      <c r="X994" s="236"/>
      <c r="Y994" s="236"/>
      <c r="Z994" s="236"/>
    </row>
    <row r="995" spans="1:26" hidden="1" outlineLevel="2">
      <c r="A995" s="19"/>
      <c r="B995" s="323"/>
      <c r="C995" s="207"/>
      <c r="D995" s="208"/>
      <c r="E995" s="133"/>
      <c r="F995" s="261"/>
      <c r="G995" s="138"/>
      <c r="H995" s="135"/>
      <c r="I995" s="206"/>
      <c r="J995" s="206"/>
      <c r="K995" s="206"/>
      <c r="L995" s="137"/>
      <c r="M995" s="163"/>
      <c r="N995" s="163"/>
      <c r="O995" s="163"/>
      <c r="P995" s="205"/>
      <c r="Q995" s="236">
        <f t="shared" si="435"/>
        <v>0</v>
      </c>
      <c r="R995" s="236">
        <f t="shared" si="436"/>
        <v>0</v>
      </c>
      <c r="S995" s="236"/>
      <c r="T995" s="236"/>
      <c r="U995" s="236">
        <f t="shared" si="437"/>
        <v>0</v>
      </c>
      <c r="V995" s="236"/>
      <c r="W995" s="232">
        <f t="shared" si="438"/>
        <v>0</v>
      </c>
      <c r="X995" s="236"/>
      <c r="Y995" s="236"/>
      <c r="Z995" s="236"/>
    </row>
    <row r="996" spans="1:26" hidden="1" outlineLevel="2">
      <c r="A996" s="19"/>
      <c r="B996" s="323"/>
      <c r="C996" s="207"/>
      <c r="D996" s="208"/>
      <c r="E996" s="133"/>
      <c r="F996" s="261"/>
      <c r="G996" s="138"/>
      <c r="H996" s="135"/>
      <c r="I996" s="206"/>
      <c r="J996" s="206"/>
      <c r="K996" s="206"/>
      <c r="L996" s="137"/>
      <c r="M996" s="163"/>
      <c r="N996" s="163"/>
      <c r="O996" s="163"/>
      <c r="P996" s="205"/>
      <c r="Q996" s="236">
        <f t="shared" si="435"/>
        <v>0</v>
      </c>
      <c r="R996" s="236">
        <f t="shared" si="436"/>
        <v>0</v>
      </c>
      <c r="S996" s="236"/>
      <c r="T996" s="236"/>
      <c r="U996" s="236">
        <f t="shared" si="437"/>
        <v>0</v>
      </c>
      <c r="V996" s="236"/>
      <c r="W996" s="232">
        <f t="shared" si="438"/>
        <v>0</v>
      </c>
      <c r="X996" s="236"/>
      <c r="Y996" s="236"/>
      <c r="Z996" s="236"/>
    </row>
    <row r="997" spans="1:26" hidden="1" outlineLevel="2">
      <c r="A997" s="19"/>
      <c r="B997" s="323"/>
      <c r="C997" s="207"/>
      <c r="D997" s="208"/>
      <c r="E997" s="133"/>
      <c r="F997" s="261"/>
      <c r="G997" s="138"/>
      <c r="H997" s="135"/>
      <c r="I997" s="206"/>
      <c r="J997" s="206"/>
      <c r="K997" s="206"/>
      <c r="L997" s="137"/>
      <c r="M997" s="163"/>
      <c r="N997" s="163"/>
      <c r="O997" s="163"/>
      <c r="P997" s="205"/>
      <c r="Q997" s="236">
        <f t="shared" si="435"/>
        <v>0</v>
      </c>
      <c r="R997" s="236">
        <f t="shared" si="436"/>
        <v>0</v>
      </c>
      <c r="S997" s="236"/>
      <c r="T997" s="236"/>
      <c r="U997" s="236">
        <f t="shared" si="437"/>
        <v>0</v>
      </c>
      <c r="V997" s="236"/>
      <c r="W997" s="232">
        <f t="shared" si="438"/>
        <v>0</v>
      </c>
      <c r="X997" s="236"/>
      <c r="Y997" s="236"/>
      <c r="Z997" s="236"/>
    </row>
    <row r="998" spans="1:26" hidden="1" outlineLevel="2">
      <c r="A998" s="160"/>
      <c r="B998" s="323"/>
      <c r="C998" s="207"/>
      <c r="D998" s="208"/>
      <c r="E998" s="133"/>
      <c r="F998" s="261"/>
      <c r="G998" s="138"/>
      <c r="H998" s="139"/>
      <c r="I998" s="206"/>
      <c r="J998" s="206"/>
      <c r="K998" s="206"/>
      <c r="L998" s="137"/>
      <c r="M998" s="74"/>
      <c r="N998" s="74"/>
      <c r="O998" s="234"/>
      <c r="P998" s="205"/>
      <c r="Q998" s="236">
        <f t="shared" si="435"/>
        <v>0</v>
      </c>
      <c r="R998" s="236">
        <f t="shared" si="436"/>
        <v>0</v>
      </c>
      <c r="S998" s="235"/>
      <c r="T998" s="235"/>
      <c r="U998" s="236">
        <f t="shared" si="437"/>
        <v>0</v>
      </c>
      <c r="V998" s="235"/>
      <c r="W998" s="232">
        <f t="shared" si="438"/>
        <v>0</v>
      </c>
      <c r="X998" s="235"/>
      <c r="Y998" s="235"/>
      <c r="Z998" s="235"/>
    </row>
    <row r="999" spans="1:26" hidden="1" outlineLevel="2">
      <c r="A999" s="160"/>
      <c r="B999" s="323"/>
      <c r="C999" s="207"/>
      <c r="D999" s="208"/>
      <c r="E999" s="133"/>
      <c r="F999" s="261"/>
      <c r="G999" s="138"/>
      <c r="H999" s="139"/>
      <c r="I999" s="206"/>
      <c r="J999" s="206"/>
      <c r="K999" s="206"/>
      <c r="L999" s="137"/>
      <c r="M999" s="74"/>
      <c r="N999" s="19"/>
      <c r="O999" s="234"/>
      <c r="P999" s="205"/>
      <c r="Q999" s="236">
        <f t="shared" si="435"/>
        <v>0</v>
      </c>
      <c r="R999" s="236">
        <f t="shared" si="436"/>
        <v>0</v>
      </c>
      <c r="S999" s="235"/>
      <c r="T999" s="235"/>
      <c r="U999" s="236">
        <f t="shared" si="437"/>
        <v>0</v>
      </c>
      <c r="V999" s="235"/>
      <c r="W999" s="232">
        <f t="shared" si="438"/>
        <v>0</v>
      </c>
      <c r="X999" s="235"/>
      <c r="Y999" s="235"/>
      <c r="Z999" s="235"/>
    </row>
    <row r="1000" spans="1:26" hidden="1" outlineLevel="2">
      <c r="A1000" s="160"/>
      <c r="B1000" s="323"/>
      <c r="C1000" s="207"/>
      <c r="D1000" s="208"/>
      <c r="E1000" s="133"/>
      <c r="F1000" s="261"/>
      <c r="G1000" s="138"/>
      <c r="H1000" s="139"/>
      <c r="I1000" s="206"/>
      <c r="J1000" s="206"/>
      <c r="K1000" s="206"/>
      <c r="L1000" s="137"/>
      <c r="M1000" s="74"/>
      <c r="N1000" s="19"/>
      <c r="O1000" s="234"/>
      <c r="P1000" s="205"/>
      <c r="Q1000" s="236">
        <f t="shared" si="435"/>
        <v>0</v>
      </c>
      <c r="R1000" s="236">
        <f>SUM(S1000:T1000)</f>
        <v>0</v>
      </c>
      <c r="S1000" s="235"/>
      <c r="T1000" s="235"/>
      <c r="U1000" s="236">
        <f t="shared" si="437"/>
        <v>0</v>
      </c>
      <c r="V1000" s="235"/>
      <c r="W1000" s="232">
        <f t="shared" si="438"/>
        <v>0</v>
      </c>
      <c r="X1000" s="235"/>
      <c r="Y1000" s="235"/>
      <c r="Z1000" s="235"/>
    </row>
    <row r="1001" spans="1:26" hidden="1" outlineLevel="2">
      <c r="A1001" s="19"/>
      <c r="B1001" s="323"/>
      <c r="C1001" s="207"/>
      <c r="D1001" s="208"/>
      <c r="E1001" s="133"/>
      <c r="F1001" s="261"/>
      <c r="G1001" s="138"/>
      <c r="H1001" s="135"/>
      <c r="I1001" s="206"/>
      <c r="J1001" s="206"/>
      <c r="K1001" s="206"/>
      <c r="L1001" s="137"/>
      <c r="M1001" s="163"/>
      <c r="N1001" s="163"/>
      <c r="O1001" s="163"/>
      <c r="P1001" s="205"/>
      <c r="Q1001" s="236">
        <f>SUM(R1001,U1001)</f>
        <v>0</v>
      </c>
      <c r="R1001" s="236">
        <f>SUM(S1001:T1001)</f>
        <v>0</v>
      </c>
      <c r="S1001" s="236"/>
      <c r="T1001" s="236"/>
      <c r="U1001" s="236">
        <f>SUM(V1001:Y1001)</f>
        <v>0</v>
      </c>
      <c r="V1001" s="236"/>
      <c r="W1001" s="232">
        <f>V1001*0.304</f>
        <v>0</v>
      </c>
      <c r="X1001" s="236"/>
      <c r="Y1001" s="236"/>
      <c r="Z1001" s="236"/>
    </row>
    <row r="1002" spans="1:26" hidden="1" outlineLevel="2">
      <c r="A1002" s="19"/>
      <c r="B1002" s="323"/>
      <c r="C1002" s="207"/>
      <c r="D1002" s="208"/>
      <c r="E1002" s="133"/>
      <c r="F1002" s="261"/>
      <c r="G1002" s="138"/>
      <c r="H1002" s="135"/>
      <c r="I1002" s="206"/>
      <c r="J1002" s="206"/>
      <c r="K1002" s="206"/>
      <c r="L1002" s="137"/>
      <c r="M1002" s="163"/>
      <c r="N1002" s="163"/>
      <c r="O1002" s="163"/>
      <c r="P1002" s="205"/>
      <c r="Q1002" s="236">
        <f t="shared" ref="Q1002:Q1008" si="439">SUM(R1002,U1002)</f>
        <v>0</v>
      </c>
      <c r="R1002" s="236">
        <f t="shared" ref="R1002:R1007" si="440">SUM(S1002:T1002)</f>
        <v>0</v>
      </c>
      <c r="S1002" s="236"/>
      <c r="T1002" s="236"/>
      <c r="U1002" s="236">
        <f t="shared" ref="U1002:U1008" si="441">SUM(V1002:Y1002)</f>
        <v>0</v>
      </c>
      <c r="V1002" s="236"/>
      <c r="W1002" s="232">
        <f t="shared" ref="W1002:W1008" si="442">V1002*0.304</f>
        <v>0</v>
      </c>
      <c r="X1002" s="236"/>
      <c r="Y1002" s="236"/>
      <c r="Z1002" s="236"/>
    </row>
    <row r="1003" spans="1:26" hidden="1" outlineLevel="2">
      <c r="A1003" s="19"/>
      <c r="B1003" s="323"/>
      <c r="C1003" s="207"/>
      <c r="D1003" s="208"/>
      <c r="E1003" s="133"/>
      <c r="F1003" s="261"/>
      <c r="G1003" s="138"/>
      <c r="H1003" s="135"/>
      <c r="I1003" s="206"/>
      <c r="J1003" s="206"/>
      <c r="K1003" s="206"/>
      <c r="L1003" s="137"/>
      <c r="M1003" s="163"/>
      <c r="N1003" s="163"/>
      <c r="O1003" s="163"/>
      <c r="P1003" s="205"/>
      <c r="Q1003" s="236">
        <f t="shared" si="439"/>
        <v>0</v>
      </c>
      <c r="R1003" s="236">
        <f t="shared" si="440"/>
        <v>0</v>
      </c>
      <c r="S1003" s="236"/>
      <c r="T1003" s="236"/>
      <c r="U1003" s="236">
        <f t="shared" si="441"/>
        <v>0</v>
      </c>
      <c r="V1003" s="236"/>
      <c r="W1003" s="232">
        <f t="shared" si="442"/>
        <v>0</v>
      </c>
      <c r="X1003" s="236"/>
      <c r="Y1003" s="236"/>
      <c r="Z1003" s="236"/>
    </row>
    <row r="1004" spans="1:26" hidden="1" outlineLevel="2">
      <c r="A1004" s="19"/>
      <c r="B1004" s="323"/>
      <c r="C1004" s="207"/>
      <c r="D1004" s="208"/>
      <c r="E1004" s="133"/>
      <c r="F1004" s="261"/>
      <c r="G1004" s="138"/>
      <c r="H1004" s="135"/>
      <c r="I1004" s="206"/>
      <c r="J1004" s="206"/>
      <c r="K1004" s="206"/>
      <c r="L1004" s="137"/>
      <c r="M1004" s="163"/>
      <c r="N1004" s="163"/>
      <c r="O1004" s="163"/>
      <c r="P1004" s="205"/>
      <c r="Q1004" s="236">
        <f t="shared" si="439"/>
        <v>0</v>
      </c>
      <c r="R1004" s="236">
        <f t="shared" si="440"/>
        <v>0</v>
      </c>
      <c r="S1004" s="236"/>
      <c r="T1004" s="236"/>
      <c r="U1004" s="236">
        <f t="shared" si="441"/>
        <v>0</v>
      </c>
      <c r="V1004" s="236"/>
      <c r="W1004" s="232">
        <f t="shared" si="442"/>
        <v>0</v>
      </c>
      <c r="X1004" s="236"/>
      <c r="Y1004" s="236"/>
      <c r="Z1004" s="236"/>
    </row>
    <row r="1005" spans="1:26" hidden="1" outlineLevel="2">
      <c r="A1005" s="19"/>
      <c r="B1005" s="323"/>
      <c r="C1005" s="207"/>
      <c r="D1005" s="208"/>
      <c r="E1005" s="133"/>
      <c r="F1005" s="261"/>
      <c r="G1005" s="138"/>
      <c r="H1005" s="135"/>
      <c r="I1005" s="206"/>
      <c r="J1005" s="206"/>
      <c r="K1005" s="206"/>
      <c r="L1005" s="137"/>
      <c r="M1005" s="163"/>
      <c r="N1005" s="163"/>
      <c r="O1005" s="163"/>
      <c r="P1005" s="205"/>
      <c r="Q1005" s="236">
        <f t="shared" si="439"/>
        <v>0</v>
      </c>
      <c r="R1005" s="236">
        <f t="shared" si="440"/>
        <v>0</v>
      </c>
      <c r="S1005" s="236"/>
      <c r="T1005" s="236"/>
      <c r="U1005" s="236">
        <f t="shared" si="441"/>
        <v>0</v>
      </c>
      <c r="V1005" s="236"/>
      <c r="W1005" s="232">
        <f t="shared" si="442"/>
        <v>0</v>
      </c>
      <c r="X1005" s="236"/>
      <c r="Y1005" s="236"/>
      <c r="Z1005" s="236"/>
    </row>
    <row r="1006" spans="1:26" hidden="1" outlineLevel="2">
      <c r="A1006" s="160"/>
      <c r="B1006" s="323"/>
      <c r="C1006" s="207"/>
      <c r="D1006" s="208"/>
      <c r="E1006" s="133"/>
      <c r="F1006" s="261"/>
      <c r="G1006" s="138"/>
      <c r="H1006" s="139"/>
      <c r="I1006" s="206"/>
      <c r="J1006" s="206"/>
      <c r="K1006" s="206"/>
      <c r="L1006" s="137"/>
      <c r="M1006" s="74"/>
      <c r="N1006" s="74"/>
      <c r="O1006" s="234"/>
      <c r="P1006" s="205"/>
      <c r="Q1006" s="236">
        <f t="shared" si="439"/>
        <v>0</v>
      </c>
      <c r="R1006" s="236">
        <f t="shared" si="440"/>
        <v>0</v>
      </c>
      <c r="S1006" s="235"/>
      <c r="T1006" s="235"/>
      <c r="U1006" s="236">
        <f t="shared" si="441"/>
        <v>0</v>
      </c>
      <c r="V1006" s="235"/>
      <c r="W1006" s="232">
        <f t="shared" si="442"/>
        <v>0</v>
      </c>
      <c r="X1006" s="235"/>
      <c r="Y1006" s="235"/>
      <c r="Z1006" s="235"/>
    </row>
    <row r="1007" spans="1:26" hidden="1" outlineLevel="2">
      <c r="A1007" s="160"/>
      <c r="B1007" s="323"/>
      <c r="C1007" s="207"/>
      <c r="D1007" s="208"/>
      <c r="E1007" s="133"/>
      <c r="F1007" s="261"/>
      <c r="G1007" s="138"/>
      <c r="H1007" s="139"/>
      <c r="I1007" s="206"/>
      <c r="J1007" s="206"/>
      <c r="K1007" s="206"/>
      <c r="L1007" s="137"/>
      <c r="M1007" s="74"/>
      <c r="N1007" s="19"/>
      <c r="O1007" s="234"/>
      <c r="P1007" s="205"/>
      <c r="Q1007" s="236">
        <f t="shared" si="439"/>
        <v>0</v>
      </c>
      <c r="R1007" s="236">
        <f t="shared" si="440"/>
        <v>0</v>
      </c>
      <c r="S1007" s="235"/>
      <c r="T1007" s="235"/>
      <c r="U1007" s="236">
        <f t="shared" si="441"/>
        <v>0</v>
      </c>
      <c r="V1007" s="235"/>
      <c r="W1007" s="232">
        <f t="shared" si="442"/>
        <v>0</v>
      </c>
      <c r="X1007" s="235"/>
      <c r="Y1007" s="235"/>
      <c r="Z1007" s="235"/>
    </row>
    <row r="1008" spans="1:26" hidden="1" outlineLevel="2">
      <c r="A1008" s="160"/>
      <c r="B1008" s="323"/>
      <c r="C1008" s="207"/>
      <c r="D1008" s="208"/>
      <c r="E1008" s="133"/>
      <c r="F1008" s="261"/>
      <c r="G1008" s="138"/>
      <c r="H1008" s="139"/>
      <c r="I1008" s="206"/>
      <c r="J1008" s="206"/>
      <c r="K1008" s="206"/>
      <c r="L1008" s="137"/>
      <c r="M1008" s="74"/>
      <c r="N1008" s="19"/>
      <c r="O1008" s="234"/>
      <c r="P1008" s="205"/>
      <c r="Q1008" s="236">
        <f t="shared" si="439"/>
        <v>0</v>
      </c>
      <c r="R1008" s="236">
        <f>SUM(S1008:T1008)</f>
        <v>0</v>
      </c>
      <c r="S1008" s="235"/>
      <c r="T1008" s="235"/>
      <c r="U1008" s="236">
        <f t="shared" si="441"/>
        <v>0</v>
      </c>
      <c r="V1008" s="235"/>
      <c r="W1008" s="232">
        <f t="shared" si="442"/>
        <v>0</v>
      </c>
      <c r="X1008" s="235"/>
      <c r="Y1008" s="235"/>
      <c r="Z1008" s="235"/>
    </row>
    <row r="1009" spans="1:26" hidden="1" outlineLevel="2">
      <c r="A1009" s="160"/>
      <c r="B1009" s="74"/>
      <c r="C1009" s="207"/>
      <c r="D1009" s="208"/>
      <c r="E1009" s="133"/>
      <c r="F1009" s="261"/>
      <c r="G1009" s="138"/>
      <c r="H1009" s="139"/>
      <c r="I1009" s="206"/>
      <c r="J1009" s="206"/>
      <c r="K1009" s="206"/>
      <c r="L1009" s="137"/>
      <c r="M1009" s="74"/>
      <c r="N1009" s="19"/>
      <c r="O1009" s="234"/>
      <c r="P1009" s="205"/>
      <c r="Q1009" s="235"/>
      <c r="R1009" s="235"/>
      <c r="S1009" s="235"/>
      <c r="T1009" s="235"/>
      <c r="U1009" s="235"/>
      <c r="V1009" s="235"/>
      <c r="W1009" s="235"/>
      <c r="X1009" s="235"/>
      <c r="Y1009" s="235"/>
      <c r="Z1009" s="235"/>
    </row>
    <row r="1010" spans="1:26" s="75" customFormat="1" outlineLevel="1" collapsed="1">
      <c r="A1010" s="237"/>
      <c r="B1010" s="238"/>
      <c r="C1010" s="239"/>
      <c r="D1010" s="240"/>
      <c r="E1010" s="241"/>
      <c r="F1010" s="264"/>
      <c r="G1010" s="242"/>
      <c r="H1010" s="243"/>
      <c r="I1010" s="244"/>
      <c r="J1010" s="244"/>
      <c r="K1010" s="244"/>
      <c r="L1010" s="150" t="str">
        <f>CONCATENATE(L1011," ",N1011,M1011," ",L1012," ",N1012,M1012," ",L1013," ",N1013,M1013," ",L1014," ",N1014,M1014," ",L1015," ",N1015,M1015," ",L1016," ",N1016,M1016," ",L1017," ",N1017,M1017," ",L1018," ",N1018,M1018," ",L1019," ",N1019,M1019," ",L1020," ",N1020,M1020," "," ",L1021," ",N1021,M1021," ",L1022," ",N1022,M1022," ",L1023," ",N1023,M1023," ",L1024," ",N1024,M1024," ",L1025," ",N1025,M1025," ",L1026," ",N1026,M1026)</f>
        <v xml:space="preserve">                                </v>
      </c>
      <c r="M1010" s="243"/>
      <c r="N1010" s="243"/>
      <c r="O1010" s="287">
        <f>SUM(O1019:O1026)</f>
        <v>0</v>
      </c>
      <c r="P1010" s="245"/>
      <c r="Q1010" s="246">
        <f>SUM(Q1019:Q1026)</f>
        <v>0</v>
      </c>
      <c r="R1010" s="246">
        <f t="shared" ref="R1010:Y1010" si="443">SUM(R1019:R1026)</f>
        <v>0</v>
      </c>
      <c r="S1010" s="246">
        <f t="shared" si="443"/>
        <v>0</v>
      </c>
      <c r="T1010" s="246">
        <f t="shared" si="443"/>
        <v>0</v>
      </c>
      <c r="U1010" s="246">
        <f t="shared" si="443"/>
        <v>0</v>
      </c>
      <c r="V1010" s="246">
        <f t="shared" si="443"/>
        <v>0</v>
      </c>
      <c r="W1010" s="246">
        <f t="shared" si="443"/>
        <v>0</v>
      </c>
      <c r="X1010" s="246">
        <f t="shared" si="443"/>
        <v>0</v>
      </c>
      <c r="Y1010" s="246">
        <f t="shared" si="443"/>
        <v>0</v>
      </c>
      <c r="Z1010" s="246">
        <f>SUM(Z1019:Z1026)</f>
        <v>0</v>
      </c>
    </row>
    <row r="1011" spans="1:26" hidden="1" outlineLevel="2">
      <c r="A1011" s="19"/>
      <c r="B1011" s="323"/>
      <c r="C1011" s="207"/>
      <c r="D1011" s="208"/>
      <c r="E1011" s="133"/>
      <c r="F1011" s="261"/>
      <c r="G1011" s="138"/>
      <c r="H1011" s="135"/>
      <c r="I1011" s="206"/>
      <c r="J1011" s="206"/>
      <c r="K1011" s="206"/>
      <c r="L1011" s="137"/>
      <c r="M1011" s="163"/>
      <c r="N1011" s="163"/>
      <c r="O1011" s="163"/>
      <c r="P1011" s="205"/>
      <c r="Q1011" s="236">
        <f>SUM(R1011,U1011)</f>
        <v>0</v>
      </c>
      <c r="R1011" s="236">
        <f>SUM(S1011:T1011)</f>
        <v>0</v>
      </c>
      <c r="S1011" s="236"/>
      <c r="T1011" s="236"/>
      <c r="U1011" s="236">
        <f>SUM(V1011:Y1011)</f>
        <v>0</v>
      </c>
      <c r="V1011" s="236"/>
      <c r="W1011" s="232">
        <f>V1011*0.304</f>
        <v>0</v>
      </c>
      <c r="X1011" s="236"/>
      <c r="Y1011" s="236"/>
      <c r="Z1011" s="236"/>
    </row>
    <row r="1012" spans="1:26" hidden="1" outlineLevel="2">
      <c r="A1012" s="19"/>
      <c r="B1012" s="323"/>
      <c r="C1012" s="207"/>
      <c r="D1012" s="208"/>
      <c r="E1012" s="133"/>
      <c r="F1012" s="261"/>
      <c r="G1012" s="138"/>
      <c r="H1012" s="135"/>
      <c r="I1012" s="206"/>
      <c r="J1012" s="206"/>
      <c r="K1012" s="206"/>
      <c r="L1012" s="137"/>
      <c r="M1012" s="163"/>
      <c r="N1012" s="163"/>
      <c r="O1012" s="163"/>
      <c r="P1012" s="205"/>
      <c r="Q1012" s="236">
        <f t="shared" ref="Q1012:Q1018" si="444">SUM(R1012,U1012)</f>
        <v>0</v>
      </c>
      <c r="R1012" s="236">
        <f t="shared" ref="R1012:R1017" si="445">SUM(S1012:T1012)</f>
        <v>0</v>
      </c>
      <c r="S1012" s="236"/>
      <c r="T1012" s="236"/>
      <c r="U1012" s="236">
        <f t="shared" ref="U1012:U1018" si="446">SUM(V1012:Y1012)</f>
        <v>0</v>
      </c>
      <c r="V1012" s="236"/>
      <c r="W1012" s="232">
        <f t="shared" ref="W1012:W1018" si="447">V1012*0.304</f>
        <v>0</v>
      </c>
      <c r="X1012" s="236"/>
      <c r="Y1012" s="236"/>
      <c r="Z1012" s="236"/>
    </row>
    <row r="1013" spans="1:26" hidden="1" outlineLevel="2">
      <c r="A1013" s="19"/>
      <c r="B1013" s="323"/>
      <c r="C1013" s="207"/>
      <c r="D1013" s="208"/>
      <c r="E1013" s="133"/>
      <c r="F1013" s="261"/>
      <c r="G1013" s="138"/>
      <c r="H1013" s="135"/>
      <c r="I1013" s="206"/>
      <c r="J1013" s="206"/>
      <c r="K1013" s="206"/>
      <c r="L1013" s="137"/>
      <c r="M1013" s="163"/>
      <c r="N1013" s="163"/>
      <c r="O1013" s="163"/>
      <c r="P1013" s="205"/>
      <c r="Q1013" s="236">
        <f t="shared" si="444"/>
        <v>0</v>
      </c>
      <c r="R1013" s="236">
        <f t="shared" si="445"/>
        <v>0</v>
      </c>
      <c r="S1013" s="236"/>
      <c r="T1013" s="236"/>
      <c r="U1013" s="236">
        <f t="shared" si="446"/>
        <v>0</v>
      </c>
      <c r="V1013" s="236"/>
      <c r="W1013" s="232">
        <f t="shared" si="447"/>
        <v>0</v>
      </c>
      <c r="X1013" s="236"/>
      <c r="Y1013" s="236"/>
      <c r="Z1013" s="236"/>
    </row>
    <row r="1014" spans="1:26" hidden="1" outlineLevel="2">
      <c r="A1014" s="19"/>
      <c r="B1014" s="323"/>
      <c r="C1014" s="207"/>
      <c r="D1014" s="208"/>
      <c r="E1014" s="133"/>
      <c r="F1014" s="261"/>
      <c r="G1014" s="138"/>
      <c r="H1014" s="135"/>
      <c r="I1014" s="206"/>
      <c r="J1014" s="206"/>
      <c r="K1014" s="206"/>
      <c r="L1014" s="137"/>
      <c r="M1014" s="163"/>
      <c r="N1014" s="163"/>
      <c r="O1014" s="163"/>
      <c r="P1014" s="205"/>
      <c r="Q1014" s="236">
        <f t="shared" si="444"/>
        <v>0</v>
      </c>
      <c r="R1014" s="236">
        <f t="shared" si="445"/>
        <v>0</v>
      </c>
      <c r="S1014" s="236"/>
      <c r="T1014" s="236"/>
      <c r="U1014" s="236">
        <f t="shared" si="446"/>
        <v>0</v>
      </c>
      <c r="V1014" s="236"/>
      <c r="W1014" s="232">
        <f t="shared" si="447"/>
        <v>0</v>
      </c>
      <c r="X1014" s="236"/>
      <c r="Y1014" s="236"/>
      <c r="Z1014" s="236"/>
    </row>
    <row r="1015" spans="1:26" hidden="1" outlineLevel="2">
      <c r="A1015" s="19"/>
      <c r="B1015" s="323"/>
      <c r="C1015" s="207"/>
      <c r="D1015" s="208"/>
      <c r="E1015" s="133"/>
      <c r="F1015" s="261"/>
      <c r="G1015" s="138"/>
      <c r="H1015" s="135"/>
      <c r="I1015" s="206"/>
      <c r="J1015" s="206"/>
      <c r="K1015" s="206"/>
      <c r="L1015" s="137"/>
      <c r="M1015" s="163"/>
      <c r="N1015" s="163"/>
      <c r="O1015" s="163"/>
      <c r="P1015" s="205"/>
      <c r="Q1015" s="236">
        <f t="shared" si="444"/>
        <v>0</v>
      </c>
      <c r="R1015" s="236">
        <f t="shared" si="445"/>
        <v>0</v>
      </c>
      <c r="S1015" s="236"/>
      <c r="T1015" s="236"/>
      <c r="U1015" s="236">
        <f t="shared" si="446"/>
        <v>0</v>
      </c>
      <c r="V1015" s="236"/>
      <c r="W1015" s="232">
        <f t="shared" si="447"/>
        <v>0</v>
      </c>
      <c r="X1015" s="236"/>
      <c r="Y1015" s="236"/>
      <c r="Z1015" s="236"/>
    </row>
    <row r="1016" spans="1:26" hidden="1" outlineLevel="2">
      <c r="A1016" s="160"/>
      <c r="B1016" s="323"/>
      <c r="C1016" s="207"/>
      <c r="D1016" s="208"/>
      <c r="E1016" s="133"/>
      <c r="F1016" s="261"/>
      <c r="G1016" s="138"/>
      <c r="H1016" s="139"/>
      <c r="I1016" s="206"/>
      <c r="J1016" s="206"/>
      <c r="K1016" s="206"/>
      <c r="L1016" s="137"/>
      <c r="M1016" s="74"/>
      <c r="N1016" s="74"/>
      <c r="O1016" s="234"/>
      <c r="P1016" s="205"/>
      <c r="Q1016" s="236">
        <f t="shared" si="444"/>
        <v>0</v>
      </c>
      <c r="R1016" s="236">
        <f t="shared" si="445"/>
        <v>0</v>
      </c>
      <c r="S1016" s="235"/>
      <c r="T1016" s="235"/>
      <c r="U1016" s="236">
        <f t="shared" si="446"/>
        <v>0</v>
      </c>
      <c r="V1016" s="235"/>
      <c r="W1016" s="232">
        <f t="shared" si="447"/>
        <v>0</v>
      </c>
      <c r="X1016" s="235"/>
      <c r="Y1016" s="235"/>
      <c r="Z1016" s="235"/>
    </row>
    <row r="1017" spans="1:26" hidden="1" outlineLevel="2">
      <c r="A1017" s="160"/>
      <c r="B1017" s="323"/>
      <c r="C1017" s="207"/>
      <c r="D1017" s="208"/>
      <c r="E1017" s="133"/>
      <c r="F1017" s="261"/>
      <c r="G1017" s="138"/>
      <c r="H1017" s="139"/>
      <c r="I1017" s="206"/>
      <c r="J1017" s="206"/>
      <c r="K1017" s="206"/>
      <c r="L1017" s="137"/>
      <c r="M1017" s="74"/>
      <c r="N1017" s="19"/>
      <c r="O1017" s="234"/>
      <c r="P1017" s="205"/>
      <c r="Q1017" s="236">
        <f t="shared" si="444"/>
        <v>0</v>
      </c>
      <c r="R1017" s="236">
        <f t="shared" si="445"/>
        <v>0</v>
      </c>
      <c r="S1017" s="235"/>
      <c r="T1017" s="235"/>
      <c r="U1017" s="236">
        <f t="shared" si="446"/>
        <v>0</v>
      </c>
      <c r="V1017" s="235"/>
      <c r="W1017" s="232">
        <f t="shared" si="447"/>
        <v>0</v>
      </c>
      <c r="X1017" s="235"/>
      <c r="Y1017" s="235"/>
      <c r="Z1017" s="235"/>
    </row>
    <row r="1018" spans="1:26" hidden="1" outlineLevel="2">
      <c r="A1018" s="160"/>
      <c r="B1018" s="323"/>
      <c r="C1018" s="207"/>
      <c r="D1018" s="208"/>
      <c r="E1018" s="133"/>
      <c r="F1018" s="261"/>
      <c r="G1018" s="138"/>
      <c r="H1018" s="139"/>
      <c r="I1018" s="206"/>
      <c r="J1018" s="206"/>
      <c r="K1018" s="206"/>
      <c r="L1018" s="137"/>
      <c r="M1018" s="74"/>
      <c r="N1018" s="19"/>
      <c r="O1018" s="234"/>
      <c r="P1018" s="205"/>
      <c r="Q1018" s="236">
        <f t="shared" si="444"/>
        <v>0</v>
      </c>
      <c r="R1018" s="236">
        <f>SUM(S1018:T1018)</f>
        <v>0</v>
      </c>
      <c r="S1018" s="235"/>
      <c r="T1018" s="235"/>
      <c r="U1018" s="236">
        <f t="shared" si="446"/>
        <v>0</v>
      </c>
      <c r="V1018" s="235"/>
      <c r="W1018" s="232">
        <f t="shared" si="447"/>
        <v>0</v>
      </c>
      <c r="X1018" s="235"/>
      <c r="Y1018" s="235"/>
      <c r="Z1018" s="235"/>
    </row>
    <row r="1019" spans="1:26" hidden="1" outlineLevel="2">
      <c r="A1019" s="19"/>
      <c r="B1019" s="323"/>
      <c r="C1019" s="207"/>
      <c r="D1019" s="208"/>
      <c r="E1019" s="133"/>
      <c r="F1019" s="261"/>
      <c r="G1019" s="138"/>
      <c r="H1019" s="135"/>
      <c r="I1019" s="206"/>
      <c r="J1019" s="206"/>
      <c r="K1019" s="206"/>
      <c r="L1019" s="137"/>
      <c r="M1019" s="163"/>
      <c r="N1019" s="163"/>
      <c r="O1019" s="163"/>
      <c r="P1019" s="205"/>
      <c r="Q1019" s="236">
        <f>SUM(R1019,U1019)</f>
        <v>0</v>
      </c>
      <c r="R1019" s="236">
        <f>SUM(S1019:T1019)</f>
        <v>0</v>
      </c>
      <c r="S1019" s="236"/>
      <c r="T1019" s="236"/>
      <c r="U1019" s="236">
        <f>SUM(V1019:Y1019)</f>
        <v>0</v>
      </c>
      <c r="V1019" s="236"/>
      <c r="W1019" s="232">
        <f>V1019*0.304</f>
        <v>0</v>
      </c>
      <c r="X1019" s="236"/>
      <c r="Y1019" s="236"/>
      <c r="Z1019" s="236"/>
    </row>
    <row r="1020" spans="1:26" hidden="1" outlineLevel="2">
      <c r="A1020" s="19"/>
      <c r="B1020" s="323"/>
      <c r="C1020" s="207"/>
      <c r="D1020" s="208"/>
      <c r="E1020" s="133"/>
      <c r="F1020" s="261"/>
      <c r="G1020" s="138"/>
      <c r="H1020" s="135"/>
      <c r="I1020" s="206"/>
      <c r="J1020" s="206"/>
      <c r="K1020" s="206"/>
      <c r="L1020" s="137"/>
      <c r="M1020" s="163"/>
      <c r="N1020" s="163"/>
      <c r="O1020" s="163"/>
      <c r="P1020" s="205"/>
      <c r="Q1020" s="236">
        <f t="shared" ref="Q1020:Q1026" si="448">SUM(R1020,U1020)</f>
        <v>0</v>
      </c>
      <c r="R1020" s="236">
        <f t="shared" ref="R1020:R1025" si="449">SUM(S1020:T1020)</f>
        <v>0</v>
      </c>
      <c r="S1020" s="236"/>
      <c r="T1020" s="236"/>
      <c r="U1020" s="236">
        <f t="shared" ref="U1020:U1026" si="450">SUM(V1020:Y1020)</f>
        <v>0</v>
      </c>
      <c r="V1020" s="236"/>
      <c r="W1020" s="232">
        <f t="shared" ref="W1020:W1026" si="451">V1020*0.304</f>
        <v>0</v>
      </c>
      <c r="X1020" s="236"/>
      <c r="Y1020" s="236"/>
      <c r="Z1020" s="236"/>
    </row>
    <row r="1021" spans="1:26" hidden="1" outlineLevel="2">
      <c r="A1021" s="19"/>
      <c r="B1021" s="323"/>
      <c r="C1021" s="207"/>
      <c r="D1021" s="208"/>
      <c r="E1021" s="133"/>
      <c r="F1021" s="261"/>
      <c r="G1021" s="138"/>
      <c r="H1021" s="135"/>
      <c r="I1021" s="206"/>
      <c r="J1021" s="206"/>
      <c r="K1021" s="206"/>
      <c r="L1021" s="137"/>
      <c r="M1021" s="163"/>
      <c r="N1021" s="163"/>
      <c r="O1021" s="163"/>
      <c r="P1021" s="205"/>
      <c r="Q1021" s="236">
        <f t="shared" si="448"/>
        <v>0</v>
      </c>
      <c r="R1021" s="236">
        <f t="shared" si="449"/>
        <v>0</v>
      </c>
      <c r="S1021" s="236"/>
      <c r="T1021" s="236"/>
      <c r="U1021" s="236">
        <f t="shared" si="450"/>
        <v>0</v>
      </c>
      <c r="V1021" s="236"/>
      <c r="W1021" s="232">
        <f t="shared" si="451"/>
        <v>0</v>
      </c>
      <c r="X1021" s="236"/>
      <c r="Y1021" s="236"/>
      <c r="Z1021" s="236"/>
    </row>
    <row r="1022" spans="1:26" hidden="1" outlineLevel="2">
      <c r="A1022" s="19"/>
      <c r="B1022" s="323"/>
      <c r="C1022" s="207"/>
      <c r="D1022" s="208"/>
      <c r="E1022" s="133"/>
      <c r="F1022" s="261"/>
      <c r="G1022" s="138"/>
      <c r="H1022" s="135"/>
      <c r="I1022" s="206"/>
      <c r="J1022" s="206"/>
      <c r="K1022" s="206"/>
      <c r="L1022" s="137"/>
      <c r="M1022" s="163"/>
      <c r="N1022" s="163"/>
      <c r="O1022" s="163"/>
      <c r="P1022" s="205"/>
      <c r="Q1022" s="236">
        <f t="shared" si="448"/>
        <v>0</v>
      </c>
      <c r="R1022" s="236">
        <f t="shared" si="449"/>
        <v>0</v>
      </c>
      <c r="S1022" s="236"/>
      <c r="T1022" s="236"/>
      <c r="U1022" s="236">
        <f t="shared" si="450"/>
        <v>0</v>
      </c>
      <c r="V1022" s="236"/>
      <c r="W1022" s="232">
        <f t="shared" si="451"/>
        <v>0</v>
      </c>
      <c r="X1022" s="236"/>
      <c r="Y1022" s="236"/>
      <c r="Z1022" s="236"/>
    </row>
    <row r="1023" spans="1:26" hidden="1" outlineLevel="2">
      <c r="A1023" s="19"/>
      <c r="B1023" s="323"/>
      <c r="C1023" s="207"/>
      <c r="D1023" s="208"/>
      <c r="E1023" s="133"/>
      <c r="F1023" s="261"/>
      <c r="G1023" s="138"/>
      <c r="H1023" s="135"/>
      <c r="I1023" s="206"/>
      <c r="J1023" s="206"/>
      <c r="K1023" s="206"/>
      <c r="L1023" s="137"/>
      <c r="M1023" s="163"/>
      <c r="N1023" s="163"/>
      <c r="O1023" s="163"/>
      <c r="P1023" s="205"/>
      <c r="Q1023" s="236">
        <f t="shared" si="448"/>
        <v>0</v>
      </c>
      <c r="R1023" s="236">
        <f t="shared" si="449"/>
        <v>0</v>
      </c>
      <c r="S1023" s="236"/>
      <c r="T1023" s="236"/>
      <c r="U1023" s="236">
        <f t="shared" si="450"/>
        <v>0</v>
      </c>
      <c r="V1023" s="236"/>
      <c r="W1023" s="232">
        <f t="shared" si="451"/>
        <v>0</v>
      </c>
      <c r="X1023" s="236"/>
      <c r="Y1023" s="236"/>
      <c r="Z1023" s="236"/>
    </row>
    <row r="1024" spans="1:26" hidden="1" outlineLevel="2">
      <c r="A1024" s="160"/>
      <c r="B1024" s="323"/>
      <c r="C1024" s="207"/>
      <c r="D1024" s="208"/>
      <c r="E1024" s="133"/>
      <c r="F1024" s="261"/>
      <c r="G1024" s="138"/>
      <c r="H1024" s="139"/>
      <c r="I1024" s="206"/>
      <c r="J1024" s="206"/>
      <c r="K1024" s="206"/>
      <c r="L1024" s="137"/>
      <c r="M1024" s="74"/>
      <c r="N1024" s="74"/>
      <c r="O1024" s="234"/>
      <c r="P1024" s="205"/>
      <c r="Q1024" s="236">
        <f t="shared" si="448"/>
        <v>0</v>
      </c>
      <c r="R1024" s="236">
        <f t="shared" si="449"/>
        <v>0</v>
      </c>
      <c r="S1024" s="235"/>
      <c r="T1024" s="235"/>
      <c r="U1024" s="236">
        <f t="shared" si="450"/>
        <v>0</v>
      </c>
      <c r="V1024" s="235"/>
      <c r="W1024" s="232">
        <f t="shared" si="451"/>
        <v>0</v>
      </c>
      <c r="X1024" s="235"/>
      <c r="Y1024" s="235"/>
      <c r="Z1024" s="235"/>
    </row>
    <row r="1025" spans="1:26" hidden="1" outlineLevel="2">
      <c r="A1025" s="160"/>
      <c r="B1025" s="323"/>
      <c r="C1025" s="207"/>
      <c r="D1025" s="208"/>
      <c r="E1025" s="133"/>
      <c r="F1025" s="261"/>
      <c r="G1025" s="138"/>
      <c r="H1025" s="139"/>
      <c r="I1025" s="206"/>
      <c r="J1025" s="206"/>
      <c r="K1025" s="206"/>
      <c r="L1025" s="137"/>
      <c r="M1025" s="74"/>
      <c r="N1025" s="19"/>
      <c r="O1025" s="234"/>
      <c r="P1025" s="205"/>
      <c r="Q1025" s="236">
        <f t="shared" si="448"/>
        <v>0</v>
      </c>
      <c r="R1025" s="236">
        <f t="shared" si="449"/>
        <v>0</v>
      </c>
      <c r="S1025" s="235"/>
      <c r="T1025" s="235"/>
      <c r="U1025" s="236">
        <f t="shared" si="450"/>
        <v>0</v>
      </c>
      <c r="V1025" s="235"/>
      <c r="W1025" s="232">
        <f t="shared" si="451"/>
        <v>0</v>
      </c>
      <c r="X1025" s="235"/>
      <c r="Y1025" s="235"/>
      <c r="Z1025" s="235"/>
    </row>
    <row r="1026" spans="1:26" hidden="1" outlineLevel="2">
      <c r="A1026" s="160"/>
      <c r="B1026" s="323"/>
      <c r="C1026" s="207"/>
      <c r="D1026" s="208"/>
      <c r="E1026" s="133"/>
      <c r="F1026" s="261"/>
      <c r="G1026" s="138"/>
      <c r="H1026" s="139"/>
      <c r="I1026" s="206"/>
      <c r="J1026" s="206"/>
      <c r="K1026" s="206"/>
      <c r="L1026" s="137"/>
      <c r="M1026" s="74"/>
      <c r="N1026" s="19"/>
      <c r="O1026" s="234"/>
      <c r="P1026" s="205"/>
      <c r="Q1026" s="236">
        <f t="shared" si="448"/>
        <v>0</v>
      </c>
      <c r="R1026" s="236">
        <f>SUM(S1026:T1026)</f>
        <v>0</v>
      </c>
      <c r="S1026" s="235"/>
      <c r="T1026" s="235"/>
      <c r="U1026" s="236">
        <f t="shared" si="450"/>
        <v>0</v>
      </c>
      <c r="V1026" s="235"/>
      <c r="W1026" s="232">
        <f t="shared" si="451"/>
        <v>0</v>
      </c>
      <c r="X1026" s="235"/>
      <c r="Y1026" s="235"/>
      <c r="Z1026" s="235"/>
    </row>
    <row r="1027" spans="1:26" hidden="1" outlineLevel="2">
      <c r="A1027" s="160"/>
      <c r="B1027" s="74"/>
      <c r="C1027" s="207"/>
      <c r="D1027" s="208"/>
      <c r="E1027" s="133"/>
      <c r="F1027" s="261"/>
      <c r="G1027" s="138"/>
      <c r="H1027" s="139"/>
      <c r="I1027" s="206"/>
      <c r="J1027" s="206"/>
      <c r="K1027" s="206"/>
      <c r="L1027" s="137"/>
      <c r="M1027" s="74"/>
      <c r="N1027" s="19"/>
      <c r="O1027" s="234"/>
      <c r="P1027" s="205"/>
      <c r="Q1027" s="235"/>
      <c r="R1027" s="235"/>
      <c r="S1027" s="235"/>
      <c r="T1027" s="235"/>
      <c r="U1027" s="235"/>
      <c r="V1027" s="235"/>
      <c r="W1027" s="235"/>
      <c r="X1027" s="235"/>
      <c r="Y1027" s="235"/>
      <c r="Z1027" s="235"/>
    </row>
    <row r="1028" spans="1:26" s="75" customFormat="1" outlineLevel="1" collapsed="1">
      <c r="A1028" s="237"/>
      <c r="B1028" s="238"/>
      <c r="C1028" s="239"/>
      <c r="D1028" s="240"/>
      <c r="E1028" s="241"/>
      <c r="F1028" s="264"/>
      <c r="G1028" s="242"/>
      <c r="H1028" s="243"/>
      <c r="I1028" s="244"/>
      <c r="J1028" s="244"/>
      <c r="K1028" s="244"/>
      <c r="L1028" s="150" t="str">
        <f>CONCATENATE(L1029," ",N1029,M1029," ",L1030," ",N1030,M1030," ",L1031," ",N1031,M1031," ",L1032," ",N1032,M1032," ",L1033," ",N1033,M1033," ",L1034," ",N1034,M1034," ",L1035," ",N1035,M1035," ",L1036," ",N1036,M1036," ",L1037," ",N1037,M1037," ",L1038," ",N1038,M1038," "," ",L1039," ",N1039,M1039," ",L1040," ",N1040,M1040," ",L1041," ",N1041,M1041," ",L1042," ",N1042,M1042," ",L1043," ",N1043,M1043," ",L1044," ",N1044,M1044)</f>
        <v xml:space="preserve">                                </v>
      </c>
      <c r="M1028" s="243"/>
      <c r="N1028" s="243"/>
      <c r="O1028" s="287">
        <f>SUM(O1037:O1044)</f>
        <v>0</v>
      </c>
      <c r="P1028" s="245"/>
      <c r="Q1028" s="246">
        <f>SUM(Q1037:Q1044)</f>
        <v>0</v>
      </c>
      <c r="R1028" s="246">
        <f t="shared" ref="R1028:Y1028" si="452">SUM(R1037:R1044)</f>
        <v>0</v>
      </c>
      <c r="S1028" s="246">
        <f t="shared" si="452"/>
        <v>0</v>
      </c>
      <c r="T1028" s="246">
        <f t="shared" si="452"/>
        <v>0</v>
      </c>
      <c r="U1028" s="246">
        <f t="shared" si="452"/>
        <v>0</v>
      </c>
      <c r="V1028" s="246">
        <f t="shared" si="452"/>
        <v>0</v>
      </c>
      <c r="W1028" s="246">
        <f t="shared" si="452"/>
        <v>0</v>
      </c>
      <c r="X1028" s="246">
        <f t="shared" si="452"/>
        <v>0</v>
      </c>
      <c r="Y1028" s="246">
        <f t="shared" si="452"/>
        <v>0</v>
      </c>
      <c r="Z1028" s="246">
        <f>SUM(Z1037:Z1044)</f>
        <v>0</v>
      </c>
    </row>
    <row r="1029" spans="1:26" hidden="1" outlineLevel="2">
      <c r="A1029" s="19"/>
      <c r="B1029" s="323"/>
      <c r="C1029" s="207"/>
      <c r="D1029" s="208"/>
      <c r="E1029" s="133"/>
      <c r="F1029" s="261"/>
      <c r="G1029" s="138"/>
      <c r="H1029" s="135"/>
      <c r="I1029" s="206"/>
      <c r="J1029" s="206"/>
      <c r="K1029" s="206"/>
      <c r="L1029" s="137"/>
      <c r="M1029" s="163"/>
      <c r="N1029" s="163"/>
      <c r="O1029" s="163"/>
      <c r="P1029" s="205"/>
      <c r="Q1029" s="236">
        <f>SUM(R1029,U1029)</f>
        <v>0</v>
      </c>
      <c r="R1029" s="236">
        <f>SUM(S1029:T1029)</f>
        <v>0</v>
      </c>
      <c r="S1029" s="236"/>
      <c r="T1029" s="236"/>
      <c r="U1029" s="236">
        <f>SUM(V1029:Y1029)</f>
        <v>0</v>
      </c>
      <c r="V1029" s="236"/>
      <c r="W1029" s="232">
        <f>V1029*0.304</f>
        <v>0</v>
      </c>
      <c r="X1029" s="236"/>
      <c r="Y1029" s="236"/>
      <c r="Z1029" s="236"/>
    </row>
    <row r="1030" spans="1:26" hidden="1" outlineLevel="2">
      <c r="A1030" s="19"/>
      <c r="B1030" s="323"/>
      <c r="C1030" s="207"/>
      <c r="D1030" s="208"/>
      <c r="E1030" s="133"/>
      <c r="F1030" s="261"/>
      <c r="G1030" s="138"/>
      <c r="H1030" s="135"/>
      <c r="I1030" s="206"/>
      <c r="J1030" s="206"/>
      <c r="K1030" s="206"/>
      <c r="L1030" s="137"/>
      <c r="M1030" s="163"/>
      <c r="N1030" s="163"/>
      <c r="O1030" s="163"/>
      <c r="P1030" s="205"/>
      <c r="Q1030" s="236">
        <f t="shared" ref="Q1030:Q1036" si="453">SUM(R1030,U1030)</f>
        <v>0</v>
      </c>
      <c r="R1030" s="236">
        <f t="shared" ref="R1030:R1035" si="454">SUM(S1030:T1030)</f>
        <v>0</v>
      </c>
      <c r="S1030" s="236"/>
      <c r="T1030" s="236"/>
      <c r="U1030" s="236">
        <f t="shared" ref="U1030:U1036" si="455">SUM(V1030:Y1030)</f>
        <v>0</v>
      </c>
      <c r="V1030" s="236"/>
      <c r="W1030" s="232">
        <f t="shared" ref="W1030:W1036" si="456">V1030*0.304</f>
        <v>0</v>
      </c>
      <c r="X1030" s="236"/>
      <c r="Y1030" s="236"/>
      <c r="Z1030" s="236"/>
    </row>
    <row r="1031" spans="1:26" hidden="1" outlineLevel="2">
      <c r="A1031" s="19"/>
      <c r="B1031" s="323"/>
      <c r="C1031" s="207"/>
      <c r="D1031" s="208"/>
      <c r="E1031" s="133"/>
      <c r="F1031" s="261"/>
      <c r="G1031" s="138"/>
      <c r="H1031" s="135"/>
      <c r="I1031" s="206"/>
      <c r="J1031" s="206"/>
      <c r="K1031" s="206"/>
      <c r="L1031" s="137"/>
      <c r="M1031" s="163"/>
      <c r="N1031" s="163"/>
      <c r="O1031" s="163"/>
      <c r="P1031" s="205"/>
      <c r="Q1031" s="236">
        <f t="shared" si="453"/>
        <v>0</v>
      </c>
      <c r="R1031" s="236">
        <f t="shared" si="454"/>
        <v>0</v>
      </c>
      <c r="S1031" s="236"/>
      <c r="T1031" s="236"/>
      <c r="U1031" s="236">
        <f t="shared" si="455"/>
        <v>0</v>
      </c>
      <c r="V1031" s="236"/>
      <c r="W1031" s="232">
        <f t="shared" si="456"/>
        <v>0</v>
      </c>
      <c r="X1031" s="236"/>
      <c r="Y1031" s="236"/>
      <c r="Z1031" s="236"/>
    </row>
    <row r="1032" spans="1:26" hidden="1" outlineLevel="2">
      <c r="A1032" s="19"/>
      <c r="B1032" s="323"/>
      <c r="C1032" s="207"/>
      <c r="D1032" s="208"/>
      <c r="E1032" s="133"/>
      <c r="F1032" s="261"/>
      <c r="G1032" s="138"/>
      <c r="H1032" s="135"/>
      <c r="I1032" s="206"/>
      <c r="J1032" s="206"/>
      <c r="K1032" s="206"/>
      <c r="L1032" s="137"/>
      <c r="M1032" s="163"/>
      <c r="N1032" s="163"/>
      <c r="O1032" s="163"/>
      <c r="P1032" s="205"/>
      <c r="Q1032" s="236">
        <f t="shared" si="453"/>
        <v>0</v>
      </c>
      <c r="R1032" s="236">
        <f t="shared" si="454"/>
        <v>0</v>
      </c>
      <c r="S1032" s="236"/>
      <c r="T1032" s="236"/>
      <c r="U1032" s="236">
        <f t="shared" si="455"/>
        <v>0</v>
      </c>
      <c r="V1032" s="236"/>
      <c r="W1032" s="232">
        <f t="shared" si="456"/>
        <v>0</v>
      </c>
      <c r="X1032" s="236"/>
      <c r="Y1032" s="236"/>
      <c r="Z1032" s="236"/>
    </row>
    <row r="1033" spans="1:26" hidden="1" outlineLevel="2">
      <c r="A1033" s="19"/>
      <c r="B1033" s="323"/>
      <c r="C1033" s="207"/>
      <c r="D1033" s="208"/>
      <c r="E1033" s="133"/>
      <c r="F1033" s="261"/>
      <c r="G1033" s="138"/>
      <c r="H1033" s="135"/>
      <c r="I1033" s="206"/>
      <c r="J1033" s="206"/>
      <c r="K1033" s="206"/>
      <c r="L1033" s="137"/>
      <c r="M1033" s="163"/>
      <c r="N1033" s="163"/>
      <c r="O1033" s="163"/>
      <c r="P1033" s="205"/>
      <c r="Q1033" s="236">
        <f t="shared" si="453"/>
        <v>0</v>
      </c>
      <c r="R1033" s="236">
        <f t="shared" si="454"/>
        <v>0</v>
      </c>
      <c r="S1033" s="236"/>
      <c r="T1033" s="236"/>
      <c r="U1033" s="236">
        <f t="shared" si="455"/>
        <v>0</v>
      </c>
      <c r="V1033" s="236"/>
      <c r="W1033" s="232">
        <f t="shared" si="456"/>
        <v>0</v>
      </c>
      <c r="X1033" s="236"/>
      <c r="Y1033" s="236"/>
      <c r="Z1033" s="236"/>
    </row>
    <row r="1034" spans="1:26" hidden="1" outlineLevel="2">
      <c r="A1034" s="160"/>
      <c r="B1034" s="323"/>
      <c r="C1034" s="207"/>
      <c r="D1034" s="208"/>
      <c r="E1034" s="133"/>
      <c r="F1034" s="261"/>
      <c r="G1034" s="138"/>
      <c r="H1034" s="139"/>
      <c r="I1034" s="206"/>
      <c r="J1034" s="206"/>
      <c r="K1034" s="206"/>
      <c r="L1034" s="137"/>
      <c r="M1034" s="74"/>
      <c r="N1034" s="74"/>
      <c r="O1034" s="234"/>
      <c r="P1034" s="205"/>
      <c r="Q1034" s="236">
        <f t="shared" si="453"/>
        <v>0</v>
      </c>
      <c r="R1034" s="236">
        <f t="shared" si="454"/>
        <v>0</v>
      </c>
      <c r="S1034" s="235"/>
      <c r="T1034" s="235"/>
      <c r="U1034" s="236">
        <f t="shared" si="455"/>
        <v>0</v>
      </c>
      <c r="V1034" s="235"/>
      <c r="W1034" s="232">
        <f t="shared" si="456"/>
        <v>0</v>
      </c>
      <c r="X1034" s="235"/>
      <c r="Y1034" s="235"/>
      <c r="Z1034" s="235"/>
    </row>
    <row r="1035" spans="1:26" hidden="1" outlineLevel="2">
      <c r="A1035" s="160"/>
      <c r="B1035" s="323"/>
      <c r="C1035" s="207"/>
      <c r="D1035" s="208"/>
      <c r="E1035" s="133"/>
      <c r="F1035" s="261"/>
      <c r="G1035" s="138"/>
      <c r="H1035" s="139"/>
      <c r="I1035" s="206"/>
      <c r="J1035" s="206"/>
      <c r="K1035" s="206"/>
      <c r="L1035" s="137"/>
      <c r="M1035" s="74"/>
      <c r="N1035" s="19"/>
      <c r="O1035" s="234"/>
      <c r="P1035" s="205"/>
      <c r="Q1035" s="236">
        <f t="shared" si="453"/>
        <v>0</v>
      </c>
      <c r="R1035" s="236">
        <f t="shared" si="454"/>
        <v>0</v>
      </c>
      <c r="S1035" s="235"/>
      <c r="T1035" s="235"/>
      <c r="U1035" s="236">
        <f t="shared" si="455"/>
        <v>0</v>
      </c>
      <c r="V1035" s="235"/>
      <c r="W1035" s="232">
        <f t="shared" si="456"/>
        <v>0</v>
      </c>
      <c r="X1035" s="235"/>
      <c r="Y1035" s="235"/>
      <c r="Z1035" s="235"/>
    </row>
    <row r="1036" spans="1:26" hidden="1" outlineLevel="2">
      <c r="A1036" s="160"/>
      <c r="B1036" s="323"/>
      <c r="C1036" s="207"/>
      <c r="D1036" s="208"/>
      <c r="E1036" s="133"/>
      <c r="F1036" s="261"/>
      <c r="G1036" s="138"/>
      <c r="H1036" s="139"/>
      <c r="I1036" s="206"/>
      <c r="J1036" s="206"/>
      <c r="K1036" s="206"/>
      <c r="L1036" s="137"/>
      <c r="M1036" s="74"/>
      <c r="N1036" s="19"/>
      <c r="O1036" s="234"/>
      <c r="P1036" s="205"/>
      <c r="Q1036" s="236">
        <f t="shared" si="453"/>
        <v>0</v>
      </c>
      <c r="R1036" s="236">
        <f>SUM(S1036:T1036)</f>
        <v>0</v>
      </c>
      <c r="S1036" s="235"/>
      <c r="T1036" s="235"/>
      <c r="U1036" s="236">
        <f t="shared" si="455"/>
        <v>0</v>
      </c>
      <c r="V1036" s="235"/>
      <c r="W1036" s="232">
        <f t="shared" si="456"/>
        <v>0</v>
      </c>
      <c r="X1036" s="235"/>
      <c r="Y1036" s="235"/>
      <c r="Z1036" s="235"/>
    </row>
    <row r="1037" spans="1:26" hidden="1" outlineLevel="2">
      <c r="A1037" s="19"/>
      <c r="B1037" s="323"/>
      <c r="C1037" s="207"/>
      <c r="D1037" s="208"/>
      <c r="E1037" s="133"/>
      <c r="F1037" s="261"/>
      <c r="G1037" s="138"/>
      <c r="H1037" s="135"/>
      <c r="I1037" s="206"/>
      <c r="J1037" s="206"/>
      <c r="K1037" s="206"/>
      <c r="L1037" s="137"/>
      <c r="M1037" s="163"/>
      <c r="N1037" s="163"/>
      <c r="O1037" s="163"/>
      <c r="P1037" s="205"/>
      <c r="Q1037" s="236">
        <f>SUM(R1037,U1037)</f>
        <v>0</v>
      </c>
      <c r="R1037" s="236">
        <f>SUM(S1037:T1037)</f>
        <v>0</v>
      </c>
      <c r="S1037" s="236"/>
      <c r="T1037" s="236"/>
      <c r="U1037" s="236">
        <f>SUM(V1037:Y1037)</f>
        <v>0</v>
      </c>
      <c r="V1037" s="236"/>
      <c r="W1037" s="232">
        <f>V1037*0.304</f>
        <v>0</v>
      </c>
      <c r="X1037" s="236"/>
      <c r="Y1037" s="236"/>
      <c r="Z1037" s="236"/>
    </row>
    <row r="1038" spans="1:26" hidden="1" outlineLevel="2">
      <c r="A1038" s="19"/>
      <c r="B1038" s="323"/>
      <c r="C1038" s="207"/>
      <c r="D1038" s="208"/>
      <c r="E1038" s="133"/>
      <c r="F1038" s="261"/>
      <c r="G1038" s="138"/>
      <c r="H1038" s="135"/>
      <c r="I1038" s="206"/>
      <c r="J1038" s="206"/>
      <c r="K1038" s="206"/>
      <c r="L1038" s="137"/>
      <c r="M1038" s="163"/>
      <c r="N1038" s="163"/>
      <c r="O1038" s="163"/>
      <c r="P1038" s="205"/>
      <c r="Q1038" s="236">
        <f t="shared" ref="Q1038:Q1044" si="457">SUM(R1038,U1038)</f>
        <v>0</v>
      </c>
      <c r="R1038" s="236">
        <f t="shared" ref="R1038:R1043" si="458">SUM(S1038:T1038)</f>
        <v>0</v>
      </c>
      <c r="S1038" s="236"/>
      <c r="T1038" s="236"/>
      <c r="U1038" s="236">
        <f t="shared" ref="U1038:U1044" si="459">SUM(V1038:Y1038)</f>
        <v>0</v>
      </c>
      <c r="V1038" s="236"/>
      <c r="W1038" s="232">
        <f t="shared" ref="W1038:W1044" si="460">V1038*0.304</f>
        <v>0</v>
      </c>
      <c r="X1038" s="236"/>
      <c r="Y1038" s="236"/>
      <c r="Z1038" s="236"/>
    </row>
    <row r="1039" spans="1:26" hidden="1" outlineLevel="2">
      <c r="A1039" s="19"/>
      <c r="B1039" s="323"/>
      <c r="C1039" s="207"/>
      <c r="D1039" s="208"/>
      <c r="E1039" s="133"/>
      <c r="F1039" s="261"/>
      <c r="G1039" s="138"/>
      <c r="H1039" s="135"/>
      <c r="I1039" s="206"/>
      <c r="J1039" s="206"/>
      <c r="K1039" s="206"/>
      <c r="L1039" s="137"/>
      <c r="M1039" s="163"/>
      <c r="N1039" s="163"/>
      <c r="O1039" s="163"/>
      <c r="P1039" s="205"/>
      <c r="Q1039" s="236">
        <f t="shared" si="457"/>
        <v>0</v>
      </c>
      <c r="R1039" s="236">
        <f t="shared" si="458"/>
        <v>0</v>
      </c>
      <c r="S1039" s="236"/>
      <c r="T1039" s="236"/>
      <c r="U1039" s="236">
        <f t="shared" si="459"/>
        <v>0</v>
      </c>
      <c r="V1039" s="236"/>
      <c r="W1039" s="232">
        <f t="shared" si="460"/>
        <v>0</v>
      </c>
      <c r="X1039" s="236"/>
      <c r="Y1039" s="236"/>
      <c r="Z1039" s="236"/>
    </row>
    <row r="1040" spans="1:26" hidden="1" outlineLevel="2">
      <c r="A1040" s="19"/>
      <c r="B1040" s="323"/>
      <c r="C1040" s="207"/>
      <c r="D1040" s="208"/>
      <c r="E1040" s="133"/>
      <c r="F1040" s="261"/>
      <c r="G1040" s="138"/>
      <c r="H1040" s="135"/>
      <c r="I1040" s="206"/>
      <c r="J1040" s="206"/>
      <c r="K1040" s="206"/>
      <c r="L1040" s="137"/>
      <c r="M1040" s="163"/>
      <c r="N1040" s="163"/>
      <c r="O1040" s="163"/>
      <c r="P1040" s="205"/>
      <c r="Q1040" s="236">
        <f t="shared" si="457"/>
        <v>0</v>
      </c>
      <c r="R1040" s="236">
        <f t="shared" si="458"/>
        <v>0</v>
      </c>
      <c r="S1040" s="236"/>
      <c r="T1040" s="236"/>
      <c r="U1040" s="236">
        <f t="shared" si="459"/>
        <v>0</v>
      </c>
      <c r="V1040" s="236"/>
      <c r="W1040" s="232">
        <f t="shared" si="460"/>
        <v>0</v>
      </c>
      <c r="X1040" s="236"/>
      <c r="Y1040" s="236"/>
      <c r="Z1040" s="236"/>
    </row>
    <row r="1041" spans="1:26" hidden="1" outlineLevel="2">
      <c r="A1041" s="19"/>
      <c r="B1041" s="323"/>
      <c r="C1041" s="207"/>
      <c r="D1041" s="208"/>
      <c r="E1041" s="133"/>
      <c r="F1041" s="261"/>
      <c r="G1041" s="138"/>
      <c r="H1041" s="135"/>
      <c r="I1041" s="206"/>
      <c r="J1041" s="206"/>
      <c r="K1041" s="206"/>
      <c r="L1041" s="137"/>
      <c r="M1041" s="163"/>
      <c r="N1041" s="163"/>
      <c r="O1041" s="163"/>
      <c r="P1041" s="205"/>
      <c r="Q1041" s="236">
        <f t="shared" si="457"/>
        <v>0</v>
      </c>
      <c r="R1041" s="236">
        <f t="shared" si="458"/>
        <v>0</v>
      </c>
      <c r="S1041" s="236"/>
      <c r="T1041" s="236"/>
      <c r="U1041" s="236">
        <f t="shared" si="459"/>
        <v>0</v>
      </c>
      <c r="V1041" s="236"/>
      <c r="W1041" s="232">
        <f t="shared" si="460"/>
        <v>0</v>
      </c>
      <c r="X1041" s="236"/>
      <c r="Y1041" s="236"/>
      <c r="Z1041" s="236"/>
    </row>
    <row r="1042" spans="1:26" hidden="1" outlineLevel="2">
      <c r="A1042" s="160"/>
      <c r="B1042" s="323"/>
      <c r="C1042" s="207"/>
      <c r="D1042" s="208"/>
      <c r="E1042" s="133"/>
      <c r="F1042" s="261"/>
      <c r="G1042" s="138"/>
      <c r="H1042" s="139"/>
      <c r="I1042" s="206"/>
      <c r="J1042" s="206"/>
      <c r="K1042" s="206"/>
      <c r="L1042" s="137"/>
      <c r="M1042" s="74"/>
      <c r="N1042" s="74"/>
      <c r="O1042" s="234"/>
      <c r="P1042" s="205"/>
      <c r="Q1042" s="236">
        <f t="shared" si="457"/>
        <v>0</v>
      </c>
      <c r="R1042" s="236">
        <f t="shared" si="458"/>
        <v>0</v>
      </c>
      <c r="S1042" s="235"/>
      <c r="T1042" s="235"/>
      <c r="U1042" s="236">
        <f t="shared" si="459"/>
        <v>0</v>
      </c>
      <c r="V1042" s="235"/>
      <c r="W1042" s="232">
        <f t="shared" si="460"/>
        <v>0</v>
      </c>
      <c r="X1042" s="235"/>
      <c r="Y1042" s="235"/>
      <c r="Z1042" s="235"/>
    </row>
    <row r="1043" spans="1:26" hidden="1" outlineLevel="2">
      <c r="A1043" s="160"/>
      <c r="B1043" s="323"/>
      <c r="C1043" s="207"/>
      <c r="D1043" s="208"/>
      <c r="E1043" s="133"/>
      <c r="F1043" s="261"/>
      <c r="G1043" s="138"/>
      <c r="H1043" s="139"/>
      <c r="I1043" s="206"/>
      <c r="J1043" s="206"/>
      <c r="K1043" s="206"/>
      <c r="L1043" s="137"/>
      <c r="M1043" s="74"/>
      <c r="N1043" s="19"/>
      <c r="O1043" s="234"/>
      <c r="P1043" s="205"/>
      <c r="Q1043" s="236">
        <f t="shared" si="457"/>
        <v>0</v>
      </c>
      <c r="R1043" s="236">
        <f t="shared" si="458"/>
        <v>0</v>
      </c>
      <c r="S1043" s="235"/>
      <c r="T1043" s="235"/>
      <c r="U1043" s="236">
        <f t="shared" si="459"/>
        <v>0</v>
      </c>
      <c r="V1043" s="235"/>
      <c r="W1043" s="232">
        <f t="shared" si="460"/>
        <v>0</v>
      </c>
      <c r="X1043" s="235"/>
      <c r="Y1043" s="235"/>
      <c r="Z1043" s="235"/>
    </row>
    <row r="1044" spans="1:26" hidden="1" outlineLevel="2">
      <c r="A1044" s="160"/>
      <c r="B1044" s="323"/>
      <c r="C1044" s="207"/>
      <c r="D1044" s="208"/>
      <c r="E1044" s="133"/>
      <c r="F1044" s="261"/>
      <c r="G1044" s="138"/>
      <c r="H1044" s="139"/>
      <c r="I1044" s="206"/>
      <c r="J1044" s="206"/>
      <c r="K1044" s="206"/>
      <c r="L1044" s="137"/>
      <c r="M1044" s="74"/>
      <c r="N1044" s="19"/>
      <c r="O1044" s="234"/>
      <c r="P1044" s="205"/>
      <c r="Q1044" s="236">
        <f t="shared" si="457"/>
        <v>0</v>
      </c>
      <c r="R1044" s="236">
        <f>SUM(S1044:T1044)</f>
        <v>0</v>
      </c>
      <c r="S1044" s="235"/>
      <c r="T1044" s="235"/>
      <c r="U1044" s="236">
        <f t="shared" si="459"/>
        <v>0</v>
      </c>
      <c r="V1044" s="235"/>
      <c r="W1044" s="232">
        <f t="shared" si="460"/>
        <v>0</v>
      </c>
      <c r="X1044" s="235"/>
      <c r="Y1044" s="235"/>
      <c r="Z1044" s="235"/>
    </row>
    <row r="1045" spans="1:26" hidden="1" outlineLevel="2">
      <c r="A1045" s="160"/>
      <c r="B1045" s="74"/>
      <c r="C1045" s="207"/>
      <c r="D1045" s="208"/>
      <c r="E1045" s="133"/>
      <c r="F1045" s="261"/>
      <c r="G1045" s="138"/>
      <c r="H1045" s="139"/>
      <c r="I1045" s="206"/>
      <c r="J1045" s="206"/>
      <c r="K1045" s="206"/>
      <c r="L1045" s="137"/>
      <c r="M1045" s="74"/>
      <c r="N1045" s="19"/>
      <c r="O1045" s="234"/>
      <c r="P1045" s="205"/>
      <c r="Q1045" s="235"/>
      <c r="R1045" s="235"/>
      <c r="S1045" s="235"/>
      <c r="T1045" s="235"/>
      <c r="U1045" s="235"/>
      <c r="V1045" s="235"/>
      <c r="W1045" s="235"/>
      <c r="X1045" s="235"/>
      <c r="Y1045" s="235"/>
      <c r="Z1045" s="235"/>
    </row>
    <row r="1046" spans="1:26" s="75" customFormat="1" outlineLevel="1" collapsed="1">
      <c r="A1046" s="237"/>
      <c r="B1046" s="238"/>
      <c r="C1046" s="239"/>
      <c r="D1046" s="240"/>
      <c r="E1046" s="241"/>
      <c r="F1046" s="264"/>
      <c r="G1046" s="242"/>
      <c r="H1046" s="243"/>
      <c r="I1046" s="244"/>
      <c r="J1046" s="244"/>
      <c r="K1046" s="244"/>
      <c r="L1046" s="150" t="str">
        <f>CONCATENATE(L1047," ",N1047,M1047," ",L1048," ",N1048,M1048," ",L1049," ",N1049,M1049," ",L1050," ",N1050,M1050," ",L1051," ",N1051,M1051," ",L1052," ",N1052,M1052," ",L1053," ",N1053,M1053," ",L1054," ",N1054,M1054," ",L1055," ",N1055,M1055," ",L1056," ",N1056,M1056," "," ",L1057," ",N1057,M1057," ",L1058," ",N1058,M1058," ",L1059," ",N1059,M1059," ",L1060," ",N1060,M1060," ",L1061," ",N1061,M1061," ",L1062," ",N1062,M1062)</f>
        <v xml:space="preserve">                                </v>
      </c>
      <c r="M1046" s="243"/>
      <c r="N1046" s="243"/>
      <c r="O1046" s="287">
        <f>SUM(O1055:O1062)</f>
        <v>0</v>
      </c>
      <c r="P1046" s="245"/>
      <c r="Q1046" s="246">
        <f>SUM(Q1055:Q1062)</f>
        <v>0</v>
      </c>
      <c r="R1046" s="246">
        <f t="shared" ref="R1046:Y1046" si="461">SUM(R1055:R1062)</f>
        <v>0</v>
      </c>
      <c r="S1046" s="246">
        <f t="shared" si="461"/>
        <v>0</v>
      </c>
      <c r="T1046" s="246">
        <f t="shared" si="461"/>
        <v>0</v>
      </c>
      <c r="U1046" s="246">
        <f t="shared" si="461"/>
        <v>0</v>
      </c>
      <c r="V1046" s="246">
        <f t="shared" si="461"/>
        <v>0</v>
      </c>
      <c r="W1046" s="246">
        <f t="shared" si="461"/>
        <v>0</v>
      </c>
      <c r="X1046" s="246">
        <f t="shared" si="461"/>
        <v>0</v>
      </c>
      <c r="Y1046" s="246">
        <f t="shared" si="461"/>
        <v>0</v>
      </c>
      <c r="Z1046" s="246">
        <f>SUM(Z1055:Z1062)</f>
        <v>0</v>
      </c>
    </row>
    <row r="1047" spans="1:26" hidden="1" outlineLevel="2">
      <c r="A1047" s="19"/>
      <c r="B1047" s="323"/>
      <c r="C1047" s="207"/>
      <c r="D1047" s="208"/>
      <c r="E1047" s="133"/>
      <c r="F1047" s="261"/>
      <c r="G1047" s="138"/>
      <c r="H1047" s="135"/>
      <c r="I1047" s="206"/>
      <c r="J1047" s="206"/>
      <c r="K1047" s="206"/>
      <c r="L1047" s="137"/>
      <c r="M1047" s="163"/>
      <c r="N1047" s="163"/>
      <c r="O1047" s="163"/>
      <c r="P1047" s="205"/>
      <c r="Q1047" s="236">
        <f>SUM(R1047,U1047)</f>
        <v>0</v>
      </c>
      <c r="R1047" s="236">
        <f>SUM(S1047:T1047)</f>
        <v>0</v>
      </c>
      <c r="S1047" s="236"/>
      <c r="T1047" s="236"/>
      <c r="U1047" s="236">
        <f>SUM(V1047:Y1047)</f>
        <v>0</v>
      </c>
      <c r="V1047" s="236"/>
      <c r="W1047" s="232">
        <f>V1047*0.304</f>
        <v>0</v>
      </c>
      <c r="X1047" s="236"/>
      <c r="Y1047" s="236"/>
      <c r="Z1047" s="236"/>
    </row>
    <row r="1048" spans="1:26" hidden="1" outlineLevel="2">
      <c r="A1048" s="19"/>
      <c r="B1048" s="323"/>
      <c r="C1048" s="207"/>
      <c r="D1048" s="208"/>
      <c r="E1048" s="133"/>
      <c r="F1048" s="261"/>
      <c r="G1048" s="138"/>
      <c r="H1048" s="135"/>
      <c r="I1048" s="206"/>
      <c r="J1048" s="206"/>
      <c r="K1048" s="206"/>
      <c r="L1048" s="137"/>
      <c r="M1048" s="163"/>
      <c r="N1048" s="163"/>
      <c r="O1048" s="163"/>
      <c r="P1048" s="205"/>
      <c r="Q1048" s="236">
        <f t="shared" ref="Q1048:Q1054" si="462">SUM(R1048,U1048)</f>
        <v>0</v>
      </c>
      <c r="R1048" s="236">
        <f t="shared" ref="R1048:R1053" si="463">SUM(S1048:T1048)</f>
        <v>0</v>
      </c>
      <c r="S1048" s="236"/>
      <c r="T1048" s="236"/>
      <c r="U1048" s="236">
        <f t="shared" ref="U1048:U1054" si="464">SUM(V1048:Y1048)</f>
        <v>0</v>
      </c>
      <c r="V1048" s="236"/>
      <c r="W1048" s="232">
        <f t="shared" ref="W1048:W1054" si="465">V1048*0.304</f>
        <v>0</v>
      </c>
      <c r="X1048" s="236"/>
      <c r="Y1048" s="236"/>
      <c r="Z1048" s="236"/>
    </row>
    <row r="1049" spans="1:26" hidden="1" outlineLevel="2">
      <c r="A1049" s="19"/>
      <c r="B1049" s="323"/>
      <c r="C1049" s="207"/>
      <c r="D1049" s="208"/>
      <c r="E1049" s="133"/>
      <c r="F1049" s="261"/>
      <c r="G1049" s="138"/>
      <c r="H1049" s="135"/>
      <c r="I1049" s="206"/>
      <c r="J1049" s="206"/>
      <c r="K1049" s="206"/>
      <c r="L1049" s="137"/>
      <c r="M1049" s="163"/>
      <c r="N1049" s="163"/>
      <c r="O1049" s="163"/>
      <c r="P1049" s="205"/>
      <c r="Q1049" s="236">
        <f t="shared" si="462"/>
        <v>0</v>
      </c>
      <c r="R1049" s="236">
        <f t="shared" si="463"/>
        <v>0</v>
      </c>
      <c r="S1049" s="236"/>
      <c r="T1049" s="236"/>
      <c r="U1049" s="236">
        <f t="shared" si="464"/>
        <v>0</v>
      </c>
      <c r="V1049" s="236"/>
      <c r="W1049" s="232">
        <f t="shared" si="465"/>
        <v>0</v>
      </c>
      <c r="X1049" s="236"/>
      <c r="Y1049" s="236"/>
      <c r="Z1049" s="236"/>
    </row>
    <row r="1050" spans="1:26" hidden="1" outlineLevel="2">
      <c r="A1050" s="19"/>
      <c r="B1050" s="323"/>
      <c r="C1050" s="207"/>
      <c r="D1050" s="208"/>
      <c r="E1050" s="133"/>
      <c r="F1050" s="261"/>
      <c r="G1050" s="138"/>
      <c r="H1050" s="135"/>
      <c r="I1050" s="206"/>
      <c r="J1050" s="206"/>
      <c r="K1050" s="206"/>
      <c r="L1050" s="137"/>
      <c r="M1050" s="163"/>
      <c r="N1050" s="163"/>
      <c r="O1050" s="163"/>
      <c r="P1050" s="205"/>
      <c r="Q1050" s="236">
        <f t="shared" si="462"/>
        <v>0</v>
      </c>
      <c r="R1050" s="236">
        <f t="shared" si="463"/>
        <v>0</v>
      </c>
      <c r="S1050" s="236"/>
      <c r="T1050" s="236"/>
      <c r="U1050" s="236">
        <f t="shared" si="464"/>
        <v>0</v>
      </c>
      <c r="V1050" s="236"/>
      <c r="W1050" s="232">
        <f t="shared" si="465"/>
        <v>0</v>
      </c>
      <c r="X1050" s="236"/>
      <c r="Y1050" s="236"/>
      <c r="Z1050" s="236"/>
    </row>
    <row r="1051" spans="1:26" hidden="1" outlineLevel="2">
      <c r="A1051" s="19"/>
      <c r="B1051" s="323"/>
      <c r="C1051" s="207"/>
      <c r="D1051" s="208"/>
      <c r="E1051" s="133"/>
      <c r="F1051" s="261"/>
      <c r="G1051" s="138"/>
      <c r="H1051" s="135"/>
      <c r="I1051" s="206"/>
      <c r="J1051" s="206"/>
      <c r="K1051" s="206"/>
      <c r="L1051" s="137"/>
      <c r="M1051" s="163"/>
      <c r="N1051" s="163"/>
      <c r="O1051" s="163"/>
      <c r="P1051" s="205"/>
      <c r="Q1051" s="236">
        <f t="shared" si="462"/>
        <v>0</v>
      </c>
      <c r="R1051" s="236">
        <f t="shared" si="463"/>
        <v>0</v>
      </c>
      <c r="S1051" s="236"/>
      <c r="T1051" s="236"/>
      <c r="U1051" s="236">
        <f t="shared" si="464"/>
        <v>0</v>
      </c>
      <c r="V1051" s="236"/>
      <c r="W1051" s="232">
        <f t="shared" si="465"/>
        <v>0</v>
      </c>
      <c r="X1051" s="236"/>
      <c r="Y1051" s="236"/>
      <c r="Z1051" s="236"/>
    </row>
    <row r="1052" spans="1:26" hidden="1" outlineLevel="2">
      <c r="A1052" s="160"/>
      <c r="B1052" s="323"/>
      <c r="C1052" s="207"/>
      <c r="D1052" s="208"/>
      <c r="E1052" s="133"/>
      <c r="F1052" s="261"/>
      <c r="G1052" s="138"/>
      <c r="H1052" s="139"/>
      <c r="I1052" s="206"/>
      <c r="J1052" s="206"/>
      <c r="K1052" s="206"/>
      <c r="L1052" s="137"/>
      <c r="M1052" s="74"/>
      <c r="N1052" s="74"/>
      <c r="O1052" s="234"/>
      <c r="P1052" s="205"/>
      <c r="Q1052" s="236">
        <f t="shared" si="462"/>
        <v>0</v>
      </c>
      <c r="R1052" s="236">
        <f t="shared" si="463"/>
        <v>0</v>
      </c>
      <c r="S1052" s="235"/>
      <c r="T1052" s="235"/>
      <c r="U1052" s="236">
        <f t="shared" si="464"/>
        <v>0</v>
      </c>
      <c r="V1052" s="235"/>
      <c r="W1052" s="232">
        <f t="shared" si="465"/>
        <v>0</v>
      </c>
      <c r="X1052" s="235"/>
      <c r="Y1052" s="235"/>
      <c r="Z1052" s="235"/>
    </row>
    <row r="1053" spans="1:26" hidden="1" outlineLevel="2">
      <c r="A1053" s="160"/>
      <c r="B1053" s="323"/>
      <c r="C1053" s="207"/>
      <c r="D1053" s="208"/>
      <c r="E1053" s="133"/>
      <c r="F1053" s="261"/>
      <c r="G1053" s="138"/>
      <c r="H1053" s="139"/>
      <c r="I1053" s="206"/>
      <c r="J1053" s="206"/>
      <c r="K1053" s="206"/>
      <c r="L1053" s="137"/>
      <c r="M1053" s="74"/>
      <c r="N1053" s="19"/>
      <c r="O1053" s="234"/>
      <c r="P1053" s="205"/>
      <c r="Q1053" s="236">
        <f t="shared" si="462"/>
        <v>0</v>
      </c>
      <c r="R1053" s="236">
        <f t="shared" si="463"/>
        <v>0</v>
      </c>
      <c r="S1053" s="235"/>
      <c r="T1053" s="235"/>
      <c r="U1053" s="236">
        <f t="shared" si="464"/>
        <v>0</v>
      </c>
      <c r="V1053" s="235"/>
      <c r="W1053" s="232">
        <f t="shared" si="465"/>
        <v>0</v>
      </c>
      <c r="X1053" s="235"/>
      <c r="Y1053" s="235"/>
      <c r="Z1053" s="235"/>
    </row>
    <row r="1054" spans="1:26" hidden="1" outlineLevel="2">
      <c r="A1054" s="160"/>
      <c r="B1054" s="323"/>
      <c r="C1054" s="207"/>
      <c r="D1054" s="208"/>
      <c r="E1054" s="133"/>
      <c r="F1054" s="261"/>
      <c r="G1054" s="138"/>
      <c r="H1054" s="139"/>
      <c r="I1054" s="206"/>
      <c r="J1054" s="206"/>
      <c r="K1054" s="206"/>
      <c r="L1054" s="137"/>
      <c r="M1054" s="74"/>
      <c r="N1054" s="19"/>
      <c r="O1054" s="234"/>
      <c r="P1054" s="205"/>
      <c r="Q1054" s="236">
        <f t="shared" si="462"/>
        <v>0</v>
      </c>
      <c r="R1054" s="236">
        <f>SUM(S1054:T1054)</f>
        <v>0</v>
      </c>
      <c r="S1054" s="235"/>
      <c r="T1054" s="235"/>
      <c r="U1054" s="236">
        <f t="shared" si="464"/>
        <v>0</v>
      </c>
      <c r="V1054" s="235"/>
      <c r="W1054" s="232">
        <f t="shared" si="465"/>
        <v>0</v>
      </c>
      <c r="X1054" s="235"/>
      <c r="Y1054" s="235"/>
      <c r="Z1054" s="235"/>
    </row>
    <row r="1055" spans="1:26" hidden="1" outlineLevel="2">
      <c r="A1055" s="19"/>
      <c r="B1055" s="323"/>
      <c r="C1055" s="207"/>
      <c r="D1055" s="208"/>
      <c r="E1055" s="133"/>
      <c r="F1055" s="261"/>
      <c r="G1055" s="138"/>
      <c r="H1055" s="135"/>
      <c r="I1055" s="206"/>
      <c r="J1055" s="206"/>
      <c r="K1055" s="206"/>
      <c r="L1055" s="137"/>
      <c r="M1055" s="163"/>
      <c r="N1055" s="163"/>
      <c r="O1055" s="163"/>
      <c r="P1055" s="205"/>
      <c r="Q1055" s="236">
        <f>SUM(R1055,U1055)</f>
        <v>0</v>
      </c>
      <c r="R1055" s="236">
        <f>SUM(S1055:T1055)</f>
        <v>0</v>
      </c>
      <c r="S1055" s="236"/>
      <c r="T1055" s="236"/>
      <c r="U1055" s="236">
        <f>SUM(V1055:Y1055)</f>
        <v>0</v>
      </c>
      <c r="V1055" s="236"/>
      <c r="W1055" s="232">
        <f>V1055*0.304</f>
        <v>0</v>
      </c>
      <c r="X1055" s="236"/>
      <c r="Y1055" s="236"/>
      <c r="Z1055" s="236"/>
    </row>
    <row r="1056" spans="1:26" hidden="1" outlineLevel="2">
      <c r="A1056" s="19"/>
      <c r="B1056" s="323"/>
      <c r="C1056" s="207"/>
      <c r="D1056" s="208"/>
      <c r="E1056" s="133"/>
      <c r="F1056" s="261"/>
      <c r="G1056" s="138"/>
      <c r="H1056" s="135"/>
      <c r="I1056" s="206"/>
      <c r="J1056" s="206"/>
      <c r="K1056" s="206"/>
      <c r="L1056" s="137"/>
      <c r="M1056" s="163"/>
      <c r="N1056" s="163"/>
      <c r="O1056" s="163"/>
      <c r="P1056" s="205"/>
      <c r="Q1056" s="236">
        <f t="shared" ref="Q1056:Q1062" si="466">SUM(R1056,U1056)</f>
        <v>0</v>
      </c>
      <c r="R1056" s="236">
        <f t="shared" ref="R1056:R1061" si="467">SUM(S1056:T1056)</f>
        <v>0</v>
      </c>
      <c r="S1056" s="236"/>
      <c r="T1056" s="236"/>
      <c r="U1056" s="236">
        <f t="shared" ref="U1056:U1062" si="468">SUM(V1056:Y1056)</f>
        <v>0</v>
      </c>
      <c r="V1056" s="236"/>
      <c r="W1056" s="232">
        <f t="shared" ref="W1056:W1062" si="469">V1056*0.304</f>
        <v>0</v>
      </c>
      <c r="X1056" s="236"/>
      <c r="Y1056" s="236"/>
      <c r="Z1056" s="236"/>
    </row>
    <row r="1057" spans="1:26" hidden="1" outlineLevel="2">
      <c r="A1057" s="19"/>
      <c r="B1057" s="323"/>
      <c r="C1057" s="207"/>
      <c r="D1057" s="208"/>
      <c r="E1057" s="133"/>
      <c r="F1057" s="261"/>
      <c r="G1057" s="138"/>
      <c r="H1057" s="135"/>
      <c r="I1057" s="206"/>
      <c r="J1057" s="206"/>
      <c r="K1057" s="206"/>
      <c r="L1057" s="137"/>
      <c r="M1057" s="163"/>
      <c r="N1057" s="163"/>
      <c r="O1057" s="163"/>
      <c r="P1057" s="205"/>
      <c r="Q1057" s="236">
        <f t="shared" si="466"/>
        <v>0</v>
      </c>
      <c r="R1057" s="236">
        <f t="shared" si="467"/>
        <v>0</v>
      </c>
      <c r="S1057" s="236"/>
      <c r="T1057" s="236"/>
      <c r="U1057" s="236">
        <f t="shared" si="468"/>
        <v>0</v>
      </c>
      <c r="V1057" s="236"/>
      <c r="W1057" s="232">
        <f t="shared" si="469"/>
        <v>0</v>
      </c>
      <c r="X1057" s="236"/>
      <c r="Y1057" s="236"/>
      <c r="Z1057" s="236"/>
    </row>
    <row r="1058" spans="1:26" hidden="1" outlineLevel="2">
      <c r="A1058" s="19"/>
      <c r="B1058" s="323"/>
      <c r="C1058" s="207"/>
      <c r="D1058" s="208"/>
      <c r="E1058" s="133"/>
      <c r="F1058" s="261"/>
      <c r="G1058" s="138"/>
      <c r="H1058" s="135"/>
      <c r="I1058" s="206"/>
      <c r="J1058" s="206"/>
      <c r="K1058" s="206"/>
      <c r="L1058" s="137"/>
      <c r="M1058" s="163"/>
      <c r="N1058" s="163"/>
      <c r="O1058" s="163"/>
      <c r="P1058" s="205"/>
      <c r="Q1058" s="236">
        <f t="shared" si="466"/>
        <v>0</v>
      </c>
      <c r="R1058" s="236">
        <f t="shared" si="467"/>
        <v>0</v>
      </c>
      <c r="S1058" s="236"/>
      <c r="T1058" s="236"/>
      <c r="U1058" s="236">
        <f t="shared" si="468"/>
        <v>0</v>
      </c>
      <c r="V1058" s="236"/>
      <c r="W1058" s="232">
        <f t="shared" si="469"/>
        <v>0</v>
      </c>
      <c r="X1058" s="236"/>
      <c r="Y1058" s="236"/>
      <c r="Z1058" s="236"/>
    </row>
    <row r="1059" spans="1:26" hidden="1" outlineLevel="2">
      <c r="A1059" s="19"/>
      <c r="B1059" s="323"/>
      <c r="C1059" s="207"/>
      <c r="D1059" s="208"/>
      <c r="E1059" s="133"/>
      <c r="F1059" s="261"/>
      <c r="G1059" s="138"/>
      <c r="H1059" s="135"/>
      <c r="I1059" s="206"/>
      <c r="J1059" s="206"/>
      <c r="K1059" s="206"/>
      <c r="L1059" s="137"/>
      <c r="M1059" s="163"/>
      <c r="N1059" s="163"/>
      <c r="O1059" s="163"/>
      <c r="P1059" s="205"/>
      <c r="Q1059" s="236">
        <f t="shared" si="466"/>
        <v>0</v>
      </c>
      <c r="R1059" s="236">
        <f t="shared" si="467"/>
        <v>0</v>
      </c>
      <c r="S1059" s="236"/>
      <c r="T1059" s="236"/>
      <c r="U1059" s="236">
        <f t="shared" si="468"/>
        <v>0</v>
      </c>
      <c r="V1059" s="236"/>
      <c r="W1059" s="232">
        <f t="shared" si="469"/>
        <v>0</v>
      </c>
      <c r="X1059" s="236"/>
      <c r="Y1059" s="236"/>
      <c r="Z1059" s="236"/>
    </row>
    <row r="1060" spans="1:26" hidden="1" outlineLevel="2">
      <c r="A1060" s="160"/>
      <c r="B1060" s="323"/>
      <c r="C1060" s="207"/>
      <c r="D1060" s="208"/>
      <c r="E1060" s="133"/>
      <c r="F1060" s="261"/>
      <c r="G1060" s="138"/>
      <c r="H1060" s="139"/>
      <c r="I1060" s="206"/>
      <c r="J1060" s="206"/>
      <c r="K1060" s="206"/>
      <c r="L1060" s="137"/>
      <c r="M1060" s="74"/>
      <c r="N1060" s="74"/>
      <c r="O1060" s="234"/>
      <c r="P1060" s="205"/>
      <c r="Q1060" s="236">
        <f t="shared" si="466"/>
        <v>0</v>
      </c>
      <c r="R1060" s="236">
        <f t="shared" si="467"/>
        <v>0</v>
      </c>
      <c r="S1060" s="235"/>
      <c r="T1060" s="235"/>
      <c r="U1060" s="236">
        <f t="shared" si="468"/>
        <v>0</v>
      </c>
      <c r="V1060" s="235"/>
      <c r="W1060" s="232">
        <f t="shared" si="469"/>
        <v>0</v>
      </c>
      <c r="X1060" s="235"/>
      <c r="Y1060" s="235"/>
      <c r="Z1060" s="235"/>
    </row>
    <row r="1061" spans="1:26" hidden="1" outlineLevel="2">
      <c r="A1061" s="160"/>
      <c r="B1061" s="323"/>
      <c r="C1061" s="207"/>
      <c r="D1061" s="208"/>
      <c r="E1061" s="133"/>
      <c r="F1061" s="261"/>
      <c r="G1061" s="138"/>
      <c r="H1061" s="139"/>
      <c r="I1061" s="206"/>
      <c r="J1061" s="206"/>
      <c r="K1061" s="206"/>
      <c r="L1061" s="137"/>
      <c r="M1061" s="74"/>
      <c r="N1061" s="19"/>
      <c r="O1061" s="234"/>
      <c r="P1061" s="205"/>
      <c r="Q1061" s="236">
        <f t="shared" si="466"/>
        <v>0</v>
      </c>
      <c r="R1061" s="236">
        <f t="shared" si="467"/>
        <v>0</v>
      </c>
      <c r="S1061" s="235"/>
      <c r="T1061" s="235"/>
      <c r="U1061" s="236">
        <f t="shared" si="468"/>
        <v>0</v>
      </c>
      <c r="V1061" s="235"/>
      <c r="W1061" s="232">
        <f t="shared" si="469"/>
        <v>0</v>
      </c>
      <c r="X1061" s="235"/>
      <c r="Y1061" s="235"/>
      <c r="Z1061" s="235"/>
    </row>
    <row r="1062" spans="1:26" hidden="1" outlineLevel="2">
      <c r="A1062" s="160"/>
      <c r="B1062" s="323"/>
      <c r="C1062" s="207"/>
      <c r="D1062" s="208"/>
      <c r="E1062" s="133"/>
      <c r="F1062" s="261"/>
      <c r="G1062" s="138"/>
      <c r="H1062" s="139"/>
      <c r="I1062" s="206"/>
      <c r="J1062" s="206"/>
      <c r="K1062" s="206"/>
      <c r="L1062" s="137"/>
      <c r="M1062" s="74"/>
      <c r="N1062" s="19"/>
      <c r="O1062" s="234"/>
      <c r="P1062" s="205"/>
      <c r="Q1062" s="236">
        <f t="shared" si="466"/>
        <v>0</v>
      </c>
      <c r="R1062" s="236">
        <f>SUM(S1062:T1062)</f>
        <v>0</v>
      </c>
      <c r="S1062" s="235"/>
      <c r="T1062" s="235"/>
      <c r="U1062" s="236">
        <f t="shared" si="468"/>
        <v>0</v>
      </c>
      <c r="V1062" s="235"/>
      <c r="W1062" s="232">
        <f t="shared" si="469"/>
        <v>0</v>
      </c>
      <c r="X1062" s="235"/>
      <c r="Y1062" s="235"/>
      <c r="Z1062" s="235"/>
    </row>
    <row r="1063" spans="1:26" hidden="1" outlineLevel="2">
      <c r="A1063" s="160"/>
      <c r="B1063" s="74"/>
      <c r="C1063" s="207"/>
      <c r="D1063" s="208"/>
      <c r="E1063" s="133"/>
      <c r="F1063" s="261"/>
      <c r="G1063" s="138"/>
      <c r="H1063" s="139"/>
      <c r="I1063" s="206"/>
      <c r="J1063" s="206"/>
      <c r="K1063" s="206"/>
      <c r="L1063" s="137"/>
      <c r="M1063" s="74"/>
      <c r="N1063" s="19"/>
      <c r="O1063" s="234"/>
      <c r="P1063" s="205"/>
      <c r="Q1063" s="235"/>
      <c r="R1063" s="235"/>
      <c r="S1063" s="235"/>
      <c r="T1063" s="235"/>
      <c r="U1063" s="235"/>
      <c r="V1063" s="235"/>
      <c r="W1063" s="235"/>
      <c r="X1063" s="235"/>
      <c r="Y1063" s="235"/>
      <c r="Z1063" s="235"/>
    </row>
    <row r="1064" spans="1:26" s="75" customFormat="1" outlineLevel="1" collapsed="1">
      <c r="A1064" s="237"/>
      <c r="B1064" s="238"/>
      <c r="C1064" s="239"/>
      <c r="D1064" s="240"/>
      <c r="E1064" s="241"/>
      <c r="F1064" s="264"/>
      <c r="G1064" s="242"/>
      <c r="H1064" s="243"/>
      <c r="I1064" s="244"/>
      <c r="J1064" s="244"/>
      <c r="K1064" s="244"/>
      <c r="L1064" s="150" t="str">
        <f>CONCATENATE(L1065," ",N1065,M1065," ",L1066," ",N1066,M1066," ",L1067," ",N1067,M1067," ",L1068," ",N1068,M1068," ",L1069," ",N1069,M1069," ",L1070," ",N1070,M1070," ",L1071," ",N1071,M1071," ",L1072," ",N1072,M1072," ",L1073," ",N1073,M1073," ",L1074," ",N1074,M1074," "," ",L1075," ",N1075,M1075," ",L1076," ",N1076,M1076," ",L1077," ",N1077,M1077," ",L1078," ",N1078,M1078," ",L1079," ",N1079,M1079," ",L1080," ",N1080,M1080)</f>
        <v xml:space="preserve">                                </v>
      </c>
      <c r="M1064" s="243"/>
      <c r="N1064" s="243"/>
      <c r="O1064" s="287">
        <f>SUM(O1073:O1080)</f>
        <v>0</v>
      </c>
      <c r="P1064" s="245"/>
      <c r="Q1064" s="246">
        <f>SUM(Q1073:Q1080)</f>
        <v>0</v>
      </c>
      <c r="R1064" s="246">
        <f t="shared" ref="R1064:Y1064" si="470">SUM(R1073:R1080)</f>
        <v>0</v>
      </c>
      <c r="S1064" s="246">
        <f t="shared" si="470"/>
        <v>0</v>
      </c>
      <c r="T1064" s="246">
        <f t="shared" si="470"/>
        <v>0</v>
      </c>
      <c r="U1064" s="246">
        <f t="shared" si="470"/>
        <v>0</v>
      </c>
      <c r="V1064" s="246">
        <f t="shared" si="470"/>
        <v>0</v>
      </c>
      <c r="W1064" s="246">
        <f t="shared" si="470"/>
        <v>0</v>
      </c>
      <c r="X1064" s="246">
        <f t="shared" si="470"/>
        <v>0</v>
      </c>
      <c r="Y1064" s="246">
        <f t="shared" si="470"/>
        <v>0</v>
      </c>
      <c r="Z1064" s="246">
        <f>SUM(Z1073:Z1080)</f>
        <v>0</v>
      </c>
    </row>
    <row r="1065" spans="1:26" hidden="1" outlineLevel="2">
      <c r="A1065" s="19"/>
      <c r="B1065" s="323"/>
      <c r="C1065" s="207"/>
      <c r="D1065" s="208"/>
      <c r="E1065" s="133"/>
      <c r="F1065" s="261"/>
      <c r="G1065" s="138"/>
      <c r="H1065" s="135"/>
      <c r="I1065" s="206"/>
      <c r="J1065" s="206"/>
      <c r="K1065" s="206"/>
      <c r="L1065" s="137"/>
      <c r="M1065" s="163"/>
      <c r="N1065" s="163"/>
      <c r="O1065" s="163"/>
      <c r="P1065" s="205"/>
      <c r="Q1065" s="236">
        <f>SUM(R1065,U1065)</f>
        <v>0</v>
      </c>
      <c r="R1065" s="236">
        <f>SUM(S1065:T1065)</f>
        <v>0</v>
      </c>
      <c r="S1065" s="236"/>
      <c r="T1065" s="236"/>
      <c r="U1065" s="236">
        <f>SUM(V1065:Y1065)</f>
        <v>0</v>
      </c>
      <c r="V1065" s="236"/>
      <c r="W1065" s="232">
        <f>V1065*0.304</f>
        <v>0</v>
      </c>
      <c r="X1065" s="236"/>
      <c r="Y1065" s="236"/>
      <c r="Z1065" s="236"/>
    </row>
    <row r="1066" spans="1:26" hidden="1" outlineLevel="2">
      <c r="A1066" s="19"/>
      <c r="B1066" s="323"/>
      <c r="C1066" s="207"/>
      <c r="D1066" s="208"/>
      <c r="E1066" s="133"/>
      <c r="F1066" s="261"/>
      <c r="G1066" s="138"/>
      <c r="H1066" s="135"/>
      <c r="I1066" s="206"/>
      <c r="J1066" s="206"/>
      <c r="K1066" s="206"/>
      <c r="L1066" s="137"/>
      <c r="M1066" s="163"/>
      <c r="N1066" s="163"/>
      <c r="O1066" s="163"/>
      <c r="P1066" s="205"/>
      <c r="Q1066" s="236">
        <f t="shared" ref="Q1066:Q1072" si="471">SUM(R1066,U1066)</f>
        <v>0</v>
      </c>
      <c r="R1066" s="236">
        <f t="shared" ref="R1066:R1071" si="472">SUM(S1066:T1066)</f>
        <v>0</v>
      </c>
      <c r="S1066" s="236"/>
      <c r="T1066" s="236"/>
      <c r="U1066" s="236">
        <f t="shared" ref="U1066:U1072" si="473">SUM(V1066:Y1066)</f>
        <v>0</v>
      </c>
      <c r="V1066" s="236"/>
      <c r="W1066" s="232">
        <f t="shared" ref="W1066:W1072" si="474">V1066*0.304</f>
        <v>0</v>
      </c>
      <c r="X1066" s="236"/>
      <c r="Y1066" s="236"/>
      <c r="Z1066" s="236"/>
    </row>
    <row r="1067" spans="1:26" hidden="1" outlineLevel="2">
      <c r="A1067" s="19"/>
      <c r="B1067" s="323"/>
      <c r="C1067" s="207"/>
      <c r="D1067" s="208"/>
      <c r="E1067" s="133"/>
      <c r="F1067" s="261"/>
      <c r="G1067" s="138"/>
      <c r="H1067" s="135"/>
      <c r="I1067" s="206"/>
      <c r="J1067" s="206"/>
      <c r="K1067" s="206"/>
      <c r="L1067" s="137"/>
      <c r="M1067" s="163"/>
      <c r="N1067" s="163"/>
      <c r="O1067" s="163"/>
      <c r="P1067" s="205"/>
      <c r="Q1067" s="236">
        <f t="shared" si="471"/>
        <v>0</v>
      </c>
      <c r="R1067" s="236">
        <f t="shared" si="472"/>
        <v>0</v>
      </c>
      <c r="S1067" s="236"/>
      <c r="T1067" s="236"/>
      <c r="U1067" s="236">
        <f t="shared" si="473"/>
        <v>0</v>
      </c>
      <c r="V1067" s="236"/>
      <c r="W1067" s="232">
        <f t="shared" si="474"/>
        <v>0</v>
      </c>
      <c r="X1067" s="236"/>
      <c r="Y1067" s="236"/>
      <c r="Z1067" s="236"/>
    </row>
    <row r="1068" spans="1:26" hidden="1" outlineLevel="2">
      <c r="A1068" s="19"/>
      <c r="B1068" s="323"/>
      <c r="C1068" s="207"/>
      <c r="D1068" s="208"/>
      <c r="E1068" s="133"/>
      <c r="F1068" s="261"/>
      <c r="G1068" s="138"/>
      <c r="H1068" s="135"/>
      <c r="I1068" s="206"/>
      <c r="J1068" s="206"/>
      <c r="K1068" s="206"/>
      <c r="L1068" s="137"/>
      <c r="M1068" s="163"/>
      <c r="N1068" s="163"/>
      <c r="O1068" s="163"/>
      <c r="P1068" s="205"/>
      <c r="Q1068" s="236">
        <f t="shared" si="471"/>
        <v>0</v>
      </c>
      <c r="R1068" s="236">
        <f t="shared" si="472"/>
        <v>0</v>
      </c>
      <c r="S1068" s="236"/>
      <c r="T1068" s="236"/>
      <c r="U1068" s="236">
        <f t="shared" si="473"/>
        <v>0</v>
      </c>
      <c r="V1068" s="236"/>
      <c r="W1068" s="232">
        <f t="shared" si="474"/>
        <v>0</v>
      </c>
      <c r="X1068" s="236"/>
      <c r="Y1068" s="236"/>
      <c r="Z1068" s="236"/>
    </row>
    <row r="1069" spans="1:26" hidden="1" outlineLevel="2">
      <c r="A1069" s="19"/>
      <c r="B1069" s="323"/>
      <c r="C1069" s="207"/>
      <c r="D1069" s="208"/>
      <c r="E1069" s="133"/>
      <c r="F1069" s="261"/>
      <c r="G1069" s="138"/>
      <c r="H1069" s="135"/>
      <c r="I1069" s="206"/>
      <c r="J1069" s="206"/>
      <c r="K1069" s="206"/>
      <c r="L1069" s="137"/>
      <c r="M1069" s="163"/>
      <c r="N1069" s="163"/>
      <c r="O1069" s="163"/>
      <c r="P1069" s="205"/>
      <c r="Q1069" s="236">
        <f t="shared" si="471"/>
        <v>0</v>
      </c>
      <c r="R1069" s="236">
        <f t="shared" si="472"/>
        <v>0</v>
      </c>
      <c r="S1069" s="236"/>
      <c r="T1069" s="236"/>
      <c r="U1069" s="236">
        <f t="shared" si="473"/>
        <v>0</v>
      </c>
      <c r="V1069" s="236"/>
      <c r="W1069" s="232">
        <f t="shared" si="474"/>
        <v>0</v>
      </c>
      <c r="X1069" s="236"/>
      <c r="Y1069" s="236"/>
      <c r="Z1069" s="236"/>
    </row>
    <row r="1070" spans="1:26" hidden="1" outlineLevel="2">
      <c r="A1070" s="160"/>
      <c r="B1070" s="323"/>
      <c r="C1070" s="207"/>
      <c r="D1070" s="208"/>
      <c r="E1070" s="133"/>
      <c r="F1070" s="261"/>
      <c r="G1070" s="138"/>
      <c r="H1070" s="139"/>
      <c r="I1070" s="206"/>
      <c r="J1070" s="206"/>
      <c r="K1070" s="206"/>
      <c r="L1070" s="137"/>
      <c r="M1070" s="74"/>
      <c r="N1070" s="74"/>
      <c r="O1070" s="234"/>
      <c r="P1070" s="205"/>
      <c r="Q1070" s="236">
        <f t="shared" si="471"/>
        <v>0</v>
      </c>
      <c r="R1070" s="236">
        <f t="shared" si="472"/>
        <v>0</v>
      </c>
      <c r="S1070" s="235"/>
      <c r="T1070" s="235"/>
      <c r="U1070" s="236">
        <f t="shared" si="473"/>
        <v>0</v>
      </c>
      <c r="V1070" s="235"/>
      <c r="W1070" s="232">
        <f t="shared" si="474"/>
        <v>0</v>
      </c>
      <c r="X1070" s="235"/>
      <c r="Y1070" s="235"/>
      <c r="Z1070" s="235"/>
    </row>
    <row r="1071" spans="1:26" hidden="1" outlineLevel="2">
      <c r="A1071" s="160"/>
      <c r="B1071" s="323"/>
      <c r="C1071" s="207"/>
      <c r="D1071" s="208"/>
      <c r="E1071" s="133"/>
      <c r="F1071" s="261"/>
      <c r="G1071" s="138"/>
      <c r="H1071" s="139"/>
      <c r="I1071" s="206"/>
      <c r="J1071" s="206"/>
      <c r="K1071" s="206"/>
      <c r="L1071" s="137"/>
      <c r="M1071" s="74"/>
      <c r="N1071" s="19"/>
      <c r="O1071" s="234"/>
      <c r="P1071" s="205"/>
      <c r="Q1071" s="236">
        <f t="shared" si="471"/>
        <v>0</v>
      </c>
      <c r="R1071" s="236">
        <f t="shared" si="472"/>
        <v>0</v>
      </c>
      <c r="S1071" s="235"/>
      <c r="T1071" s="235"/>
      <c r="U1071" s="236">
        <f t="shared" si="473"/>
        <v>0</v>
      </c>
      <c r="V1071" s="235"/>
      <c r="W1071" s="232">
        <f t="shared" si="474"/>
        <v>0</v>
      </c>
      <c r="X1071" s="235"/>
      <c r="Y1071" s="235"/>
      <c r="Z1071" s="235"/>
    </row>
    <row r="1072" spans="1:26" hidden="1" outlineLevel="2">
      <c r="A1072" s="160"/>
      <c r="B1072" s="323"/>
      <c r="C1072" s="207"/>
      <c r="D1072" s="208"/>
      <c r="E1072" s="133"/>
      <c r="F1072" s="261"/>
      <c r="G1072" s="138"/>
      <c r="H1072" s="139"/>
      <c r="I1072" s="206"/>
      <c r="J1072" s="206"/>
      <c r="K1072" s="206"/>
      <c r="L1072" s="137"/>
      <c r="M1072" s="74"/>
      <c r="N1072" s="19"/>
      <c r="O1072" s="234"/>
      <c r="P1072" s="205"/>
      <c r="Q1072" s="236">
        <f t="shared" si="471"/>
        <v>0</v>
      </c>
      <c r="R1072" s="236">
        <f>SUM(S1072:T1072)</f>
        <v>0</v>
      </c>
      <c r="S1072" s="235"/>
      <c r="T1072" s="235"/>
      <c r="U1072" s="236">
        <f t="shared" si="473"/>
        <v>0</v>
      </c>
      <c r="V1072" s="235"/>
      <c r="W1072" s="232">
        <f t="shared" si="474"/>
        <v>0</v>
      </c>
      <c r="X1072" s="235"/>
      <c r="Y1072" s="235"/>
      <c r="Z1072" s="235"/>
    </row>
    <row r="1073" spans="1:26" hidden="1" outlineLevel="2">
      <c r="A1073" s="19"/>
      <c r="B1073" s="323"/>
      <c r="C1073" s="207"/>
      <c r="D1073" s="208"/>
      <c r="E1073" s="133"/>
      <c r="F1073" s="261"/>
      <c r="G1073" s="138"/>
      <c r="H1073" s="135"/>
      <c r="I1073" s="206"/>
      <c r="J1073" s="206"/>
      <c r="K1073" s="206"/>
      <c r="L1073" s="137"/>
      <c r="M1073" s="163"/>
      <c r="N1073" s="163"/>
      <c r="O1073" s="163"/>
      <c r="P1073" s="205"/>
      <c r="Q1073" s="236">
        <f>SUM(R1073,U1073)</f>
        <v>0</v>
      </c>
      <c r="R1073" s="236">
        <f>SUM(S1073:T1073)</f>
        <v>0</v>
      </c>
      <c r="S1073" s="236"/>
      <c r="T1073" s="236"/>
      <c r="U1073" s="236">
        <f>SUM(V1073:Y1073)</f>
        <v>0</v>
      </c>
      <c r="V1073" s="236"/>
      <c r="W1073" s="232">
        <f>V1073*0.304</f>
        <v>0</v>
      </c>
      <c r="X1073" s="236"/>
      <c r="Y1073" s="236"/>
      <c r="Z1073" s="236"/>
    </row>
    <row r="1074" spans="1:26" hidden="1" outlineLevel="2">
      <c r="A1074" s="19"/>
      <c r="B1074" s="323"/>
      <c r="C1074" s="207"/>
      <c r="D1074" s="208"/>
      <c r="E1074" s="133"/>
      <c r="F1074" s="261"/>
      <c r="G1074" s="138"/>
      <c r="H1074" s="135"/>
      <c r="I1074" s="206"/>
      <c r="J1074" s="206"/>
      <c r="K1074" s="206"/>
      <c r="L1074" s="137"/>
      <c r="M1074" s="163"/>
      <c r="N1074" s="163"/>
      <c r="O1074" s="163"/>
      <c r="P1074" s="205"/>
      <c r="Q1074" s="236">
        <f t="shared" ref="Q1074:Q1080" si="475">SUM(R1074,U1074)</f>
        <v>0</v>
      </c>
      <c r="R1074" s="236">
        <f t="shared" ref="R1074:R1079" si="476">SUM(S1074:T1074)</f>
        <v>0</v>
      </c>
      <c r="S1074" s="236"/>
      <c r="T1074" s="236"/>
      <c r="U1074" s="236">
        <f t="shared" ref="U1074:U1080" si="477">SUM(V1074:Y1074)</f>
        <v>0</v>
      </c>
      <c r="V1074" s="236"/>
      <c r="W1074" s="232">
        <f t="shared" ref="W1074:W1080" si="478">V1074*0.304</f>
        <v>0</v>
      </c>
      <c r="X1074" s="236"/>
      <c r="Y1074" s="236"/>
      <c r="Z1074" s="236"/>
    </row>
    <row r="1075" spans="1:26" hidden="1" outlineLevel="2">
      <c r="A1075" s="19"/>
      <c r="B1075" s="323"/>
      <c r="C1075" s="207"/>
      <c r="D1075" s="208"/>
      <c r="E1075" s="133"/>
      <c r="F1075" s="261"/>
      <c r="G1075" s="138"/>
      <c r="H1075" s="135"/>
      <c r="I1075" s="206"/>
      <c r="J1075" s="206"/>
      <c r="K1075" s="206"/>
      <c r="L1075" s="137"/>
      <c r="M1075" s="163"/>
      <c r="N1075" s="163"/>
      <c r="O1075" s="163"/>
      <c r="P1075" s="205"/>
      <c r="Q1075" s="236">
        <f t="shared" si="475"/>
        <v>0</v>
      </c>
      <c r="R1075" s="236">
        <f t="shared" si="476"/>
        <v>0</v>
      </c>
      <c r="S1075" s="236"/>
      <c r="T1075" s="236"/>
      <c r="U1075" s="236">
        <f t="shared" si="477"/>
        <v>0</v>
      </c>
      <c r="V1075" s="236"/>
      <c r="W1075" s="232">
        <f t="shared" si="478"/>
        <v>0</v>
      </c>
      <c r="X1075" s="236"/>
      <c r="Y1075" s="236"/>
      <c r="Z1075" s="236"/>
    </row>
    <row r="1076" spans="1:26" hidden="1" outlineLevel="2">
      <c r="A1076" s="19"/>
      <c r="B1076" s="323"/>
      <c r="C1076" s="207"/>
      <c r="D1076" s="208"/>
      <c r="E1076" s="133"/>
      <c r="F1076" s="261"/>
      <c r="G1076" s="138"/>
      <c r="H1076" s="135"/>
      <c r="I1076" s="206"/>
      <c r="J1076" s="206"/>
      <c r="K1076" s="206"/>
      <c r="L1076" s="137"/>
      <c r="M1076" s="163"/>
      <c r="N1076" s="163"/>
      <c r="O1076" s="163"/>
      <c r="P1076" s="205"/>
      <c r="Q1076" s="236">
        <f t="shared" si="475"/>
        <v>0</v>
      </c>
      <c r="R1076" s="236">
        <f t="shared" si="476"/>
        <v>0</v>
      </c>
      <c r="S1076" s="236"/>
      <c r="T1076" s="236"/>
      <c r="U1076" s="236">
        <f t="shared" si="477"/>
        <v>0</v>
      </c>
      <c r="V1076" s="236"/>
      <c r="W1076" s="232">
        <f t="shared" si="478"/>
        <v>0</v>
      </c>
      <c r="X1076" s="236"/>
      <c r="Y1076" s="236"/>
      <c r="Z1076" s="236"/>
    </row>
    <row r="1077" spans="1:26" hidden="1" outlineLevel="2">
      <c r="A1077" s="19"/>
      <c r="B1077" s="323"/>
      <c r="C1077" s="207"/>
      <c r="D1077" s="208"/>
      <c r="E1077" s="133"/>
      <c r="F1077" s="261"/>
      <c r="G1077" s="138"/>
      <c r="H1077" s="135"/>
      <c r="I1077" s="206"/>
      <c r="J1077" s="206"/>
      <c r="K1077" s="206"/>
      <c r="L1077" s="137"/>
      <c r="M1077" s="163"/>
      <c r="N1077" s="163"/>
      <c r="O1077" s="163"/>
      <c r="P1077" s="205"/>
      <c r="Q1077" s="236">
        <f t="shared" si="475"/>
        <v>0</v>
      </c>
      <c r="R1077" s="236">
        <f t="shared" si="476"/>
        <v>0</v>
      </c>
      <c r="S1077" s="236"/>
      <c r="T1077" s="236"/>
      <c r="U1077" s="236">
        <f t="shared" si="477"/>
        <v>0</v>
      </c>
      <c r="V1077" s="236"/>
      <c r="W1077" s="232">
        <f t="shared" si="478"/>
        <v>0</v>
      </c>
      <c r="X1077" s="236"/>
      <c r="Y1077" s="236"/>
      <c r="Z1077" s="236"/>
    </row>
    <row r="1078" spans="1:26" hidden="1" outlineLevel="2">
      <c r="A1078" s="160"/>
      <c r="B1078" s="323"/>
      <c r="C1078" s="207"/>
      <c r="D1078" s="208"/>
      <c r="E1078" s="133"/>
      <c r="F1078" s="261"/>
      <c r="G1078" s="138"/>
      <c r="H1078" s="139"/>
      <c r="I1078" s="206"/>
      <c r="J1078" s="206"/>
      <c r="K1078" s="206"/>
      <c r="L1078" s="137"/>
      <c r="M1078" s="74"/>
      <c r="N1078" s="74"/>
      <c r="O1078" s="234"/>
      <c r="P1078" s="205"/>
      <c r="Q1078" s="236">
        <f t="shared" si="475"/>
        <v>0</v>
      </c>
      <c r="R1078" s="236">
        <f t="shared" si="476"/>
        <v>0</v>
      </c>
      <c r="S1078" s="235"/>
      <c r="T1078" s="235"/>
      <c r="U1078" s="236">
        <f t="shared" si="477"/>
        <v>0</v>
      </c>
      <c r="V1078" s="235"/>
      <c r="W1078" s="232">
        <f t="shared" si="478"/>
        <v>0</v>
      </c>
      <c r="X1078" s="235"/>
      <c r="Y1078" s="235"/>
      <c r="Z1078" s="235"/>
    </row>
    <row r="1079" spans="1:26" hidden="1" outlineLevel="2">
      <c r="A1079" s="160"/>
      <c r="B1079" s="323"/>
      <c r="C1079" s="207"/>
      <c r="D1079" s="208"/>
      <c r="E1079" s="133"/>
      <c r="F1079" s="261"/>
      <c r="G1079" s="138"/>
      <c r="H1079" s="139"/>
      <c r="I1079" s="206"/>
      <c r="J1079" s="206"/>
      <c r="K1079" s="206"/>
      <c r="L1079" s="137"/>
      <c r="M1079" s="74"/>
      <c r="N1079" s="19"/>
      <c r="O1079" s="234"/>
      <c r="P1079" s="205"/>
      <c r="Q1079" s="236">
        <f t="shared" si="475"/>
        <v>0</v>
      </c>
      <c r="R1079" s="236">
        <f t="shared" si="476"/>
        <v>0</v>
      </c>
      <c r="S1079" s="235"/>
      <c r="T1079" s="235"/>
      <c r="U1079" s="236">
        <f t="shared" si="477"/>
        <v>0</v>
      </c>
      <c r="V1079" s="235"/>
      <c r="W1079" s="232">
        <f t="shared" si="478"/>
        <v>0</v>
      </c>
      <c r="X1079" s="235"/>
      <c r="Y1079" s="235"/>
      <c r="Z1079" s="235"/>
    </row>
    <row r="1080" spans="1:26" hidden="1" outlineLevel="2">
      <c r="A1080" s="160"/>
      <c r="B1080" s="323"/>
      <c r="C1080" s="207"/>
      <c r="D1080" s="208"/>
      <c r="E1080" s="133"/>
      <c r="F1080" s="261"/>
      <c r="G1080" s="138"/>
      <c r="H1080" s="139"/>
      <c r="I1080" s="206"/>
      <c r="J1080" s="206"/>
      <c r="K1080" s="206"/>
      <c r="L1080" s="137"/>
      <c r="M1080" s="74"/>
      <c r="N1080" s="19"/>
      <c r="O1080" s="234"/>
      <c r="P1080" s="205"/>
      <c r="Q1080" s="236">
        <f t="shared" si="475"/>
        <v>0</v>
      </c>
      <c r="R1080" s="236">
        <f>SUM(S1080:T1080)</f>
        <v>0</v>
      </c>
      <c r="S1080" s="235"/>
      <c r="T1080" s="235"/>
      <c r="U1080" s="236">
        <f t="shared" si="477"/>
        <v>0</v>
      </c>
      <c r="V1080" s="235"/>
      <c r="W1080" s="232">
        <f t="shared" si="478"/>
        <v>0</v>
      </c>
      <c r="X1080" s="235"/>
      <c r="Y1080" s="235"/>
      <c r="Z1080" s="235"/>
    </row>
    <row r="1081" spans="1:26" hidden="1" outlineLevel="2">
      <c r="A1081" s="160"/>
      <c r="B1081" s="74"/>
      <c r="C1081" s="207"/>
      <c r="D1081" s="208"/>
      <c r="E1081" s="133"/>
      <c r="F1081" s="261"/>
      <c r="G1081" s="138"/>
      <c r="H1081" s="139"/>
      <c r="I1081" s="206"/>
      <c r="J1081" s="206"/>
      <c r="K1081" s="206"/>
      <c r="L1081" s="137"/>
      <c r="M1081" s="74"/>
      <c r="N1081" s="19"/>
      <c r="O1081" s="234"/>
      <c r="P1081" s="205"/>
      <c r="Q1081" s="235"/>
      <c r="R1081" s="235"/>
      <c r="S1081" s="235"/>
      <c r="T1081" s="235"/>
      <c r="U1081" s="235"/>
      <c r="V1081" s="235"/>
      <c r="W1081" s="235"/>
      <c r="X1081" s="235"/>
      <c r="Y1081" s="235"/>
      <c r="Z1081" s="235"/>
    </row>
    <row r="1082" spans="1:26" ht="15.75" thickBot="1">
      <c r="A1082" s="297"/>
      <c r="B1082" s="324"/>
      <c r="C1082" s="325"/>
      <c r="D1082" s="324"/>
      <c r="E1082" s="330"/>
      <c r="F1082" s="301"/>
      <c r="G1082" s="326"/>
      <c r="H1082" s="327"/>
      <c r="I1082" s="297"/>
      <c r="J1082" s="297"/>
      <c r="K1082" s="297"/>
      <c r="L1082" s="328"/>
      <c r="M1082" s="297"/>
      <c r="N1082" s="329"/>
      <c r="O1082" s="324"/>
      <c r="P1082" s="331"/>
      <c r="Q1082" s="332"/>
      <c r="R1082" s="332"/>
      <c r="S1082" s="332"/>
      <c r="T1082" s="332"/>
      <c r="U1082" s="332"/>
      <c r="V1082" s="332"/>
      <c r="W1082" s="332"/>
      <c r="X1082" s="332"/>
      <c r="Y1082" s="332"/>
      <c r="Z1082" s="332"/>
    </row>
    <row r="1083" spans="1:26" ht="19.5" thickBot="1">
      <c r="A1083" s="621">
        <v>3</v>
      </c>
      <c r="B1083" s="622"/>
      <c r="C1083" s="622"/>
      <c r="D1083" s="622"/>
      <c r="E1083" s="56" t="s">
        <v>62</v>
      </c>
      <c r="F1083" s="278"/>
      <c r="G1083" s="57"/>
      <c r="H1083" s="58"/>
      <c r="I1083" s="68"/>
      <c r="J1083" s="68"/>
      <c r="K1083" s="68"/>
      <c r="L1083" s="59"/>
      <c r="M1083" s="58"/>
      <c r="N1083" s="58"/>
      <c r="O1083" s="257"/>
      <c r="P1083" s="117"/>
      <c r="Q1083" s="257">
        <v>0</v>
      </c>
      <c r="R1083" s="257">
        <v>0</v>
      </c>
      <c r="S1083" s="257">
        <v>0</v>
      </c>
      <c r="T1083" s="257">
        <v>0</v>
      </c>
      <c r="U1083" s="257">
        <v>0</v>
      </c>
      <c r="V1083" s="257">
        <v>0</v>
      </c>
      <c r="W1083" s="257">
        <v>0</v>
      </c>
      <c r="X1083" s="257">
        <v>0</v>
      </c>
      <c r="Y1083" s="257">
        <v>0</v>
      </c>
      <c r="Z1083" s="257">
        <v>0</v>
      </c>
    </row>
    <row r="1084" spans="1:26" s="75" customFormat="1" outlineLevel="1" collapsed="1">
      <c r="A1084" s="237"/>
      <c r="B1084" s="238"/>
      <c r="C1084" s="239"/>
      <c r="D1084" s="240"/>
      <c r="E1084" s="241"/>
      <c r="F1084" s="264"/>
      <c r="G1084" s="242"/>
      <c r="H1084" s="243"/>
      <c r="I1084" s="244"/>
      <c r="J1084" s="244"/>
      <c r="K1084" s="244"/>
      <c r="L1084" s="150" t="str">
        <f>CONCATENATE(L1085," ",N1085,M1085," ",L1086," ",N1086,M1086," "," ",L1087," ",N1087,M1087," ",L1088," ",N1088,M1088," ",L1089," ",N1089,M1089," ",L1090," ",N1090,M1090," ",L1091," ",N1091,M1091," ",L1092," ",N1092,M1092)</f>
        <v xml:space="preserve">                </v>
      </c>
      <c r="M1084" s="243"/>
      <c r="N1084" s="243"/>
      <c r="O1084" s="287">
        <f>SUM(O1085:O1092)</f>
        <v>0</v>
      </c>
      <c r="P1084" s="245"/>
      <c r="Q1084" s="246">
        <f>SUM(Q1085:Q1092)</f>
        <v>0</v>
      </c>
      <c r="R1084" s="246">
        <f t="shared" ref="R1084:Y1084" si="479">SUM(R1085:R1092)</f>
        <v>0</v>
      </c>
      <c r="S1084" s="246">
        <f t="shared" si="479"/>
        <v>0</v>
      </c>
      <c r="T1084" s="246">
        <f t="shared" si="479"/>
        <v>0</v>
      </c>
      <c r="U1084" s="246">
        <f t="shared" si="479"/>
        <v>0</v>
      </c>
      <c r="V1084" s="246">
        <f t="shared" si="479"/>
        <v>0</v>
      </c>
      <c r="W1084" s="246">
        <f t="shared" si="479"/>
        <v>0</v>
      </c>
      <c r="X1084" s="246">
        <f t="shared" si="479"/>
        <v>0</v>
      </c>
      <c r="Y1084" s="246">
        <f t="shared" si="479"/>
        <v>0</v>
      </c>
      <c r="Z1084" s="246">
        <f>SUM(Z1085:Z1092)</f>
        <v>0</v>
      </c>
    </row>
    <row r="1085" spans="1:26" hidden="1" outlineLevel="2">
      <c r="A1085" s="19"/>
      <c r="B1085" s="38"/>
      <c r="C1085" s="207"/>
      <c r="D1085" s="208"/>
      <c r="E1085" s="133"/>
      <c r="F1085" s="261"/>
      <c r="G1085" s="138"/>
      <c r="H1085" s="135"/>
      <c r="I1085" s="206"/>
      <c r="J1085" s="206"/>
      <c r="K1085" s="206"/>
      <c r="L1085" s="137"/>
      <c r="M1085" s="163"/>
      <c r="N1085" s="163"/>
      <c r="O1085" s="288"/>
      <c r="P1085" s="205"/>
      <c r="Q1085" s="236">
        <f>SUM(R1085,U1085)</f>
        <v>0</v>
      </c>
      <c r="R1085" s="236">
        <f>SUM(S1085:T1085)</f>
        <v>0</v>
      </c>
      <c r="S1085" s="236"/>
      <c r="T1085" s="236"/>
      <c r="U1085" s="236">
        <f>SUM(V1085:Y1085)</f>
        <v>0</v>
      </c>
      <c r="V1085" s="236"/>
      <c r="W1085" s="232">
        <f>V1085*0.304</f>
        <v>0</v>
      </c>
      <c r="X1085" s="236"/>
      <c r="Y1085" s="236"/>
      <c r="Z1085" s="236"/>
    </row>
    <row r="1086" spans="1:26" hidden="1" outlineLevel="2">
      <c r="A1086" s="19"/>
      <c r="B1086" s="38"/>
      <c r="C1086" s="207"/>
      <c r="D1086" s="208"/>
      <c r="E1086" s="133"/>
      <c r="F1086" s="261"/>
      <c r="G1086" s="138"/>
      <c r="H1086" s="135"/>
      <c r="I1086" s="206"/>
      <c r="J1086" s="206"/>
      <c r="K1086" s="206"/>
      <c r="L1086" s="137"/>
      <c r="M1086" s="163"/>
      <c r="N1086" s="163"/>
      <c r="O1086" s="288"/>
      <c r="P1086" s="205"/>
      <c r="Q1086" s="236">
        <f t="shared" ref="Q1086:Q1092" si="480">SUM(R1086,U1086)</f>
        <v>0</v>
      </c>
      <c r="R1086" s="236">
        <f t="shared" ref="R1086:R1091" si="481">SUM(S1086:T1086)</f>
        <v>0</v>
      </c>
      <c r="S1086" s="236"/>
      <c r="T1086" s="236"/>
      <c r="U1086" s="236">
        <f t="shared" ref="U1086:U1092" si="482">SUM(V1086:Y1086)</f>
        <v>0</v>
      </c>
      <c r="V1086" s="236"/>
      <c r="W1086" s="232">
        <f t="shared" ref="W1086:W1092" si="483">V1086*0.304</f>
        <v>0</v>
      </c>
      <c r="X1086" s="236"/>
      <c r="Y1086" s="236"/>
      <c r="Z1086" s="236"/>
    </row>
    <row r="1087" spans="1:26" hidden="1" outlineLevel="2">
      <c r="A1087" s="19"/>
      <c r="B1087" s="38"/>
      <c r="C1087" s="207"/>
      <c r="D1087" s="208"/>
      <c r="E1087" s="133"/>
      <c r="F1087" s="261"/>
      <c r="G1087" s="138"/>
      <c r="H1087" s="135"/>
      <c r="I1087" s="206"/>
      <c r="J1087" s="206"/>
      <c r="K1087" s="206"/>
      <c r="L1087" s="137"/>
      <c r="M1087" s="163"/>
      <c r="N1087" s="163"/>
      <c r="O1087" s="288"/>
      <c r="P1087" s="205"/>
      <c r="Q1087" s="236">
        <f t="shared" si="480"/>
        <v>0</v>
      </c>
      <c r="R1087" s="236">
        <f t="shared" si="481"/>
        <v>0</v>
      </c>
      <c r="S1087" s="236"/>
      <c r="T1087" s="236"/>
      <c r="U1087" s="236">
        <f t="shared" si="482"/>
        <v>0</v>
      </c>
      <c r="V1087" s="236"/>
      <c r="W1087" s="232">
        <f t="shared" si="483"/>
        <v>0</v>
      </c>
      <c r="X1087" s="236"/>
      <c r="Y1087" s="236"/>
      <c r="Z1087" s="236"/>
    </row>
    <row r="1088" spans="1:26" hidden="1" outlineLevel="2">
      <c r="A1088" s="19"/>
      <c r="B1088" s="38"/>
      <c r="C1088" s="207"/>
      <c r="D1088" s="208"/>
      <c r="E1088" s="133"/>
      <c r="F1088" s="261"/>
      <c r="G1088" s="138"/>
      <c r="H1088" s="135"/>
      <c r="I1088" s="206"/>
      <c r="J1088" s="206"/>
      <c r="K1088" s="206"/>
      <c r="L1088" s="137"/>
      <c r="M1088" s="163"/>
      <c r="N1088" s="163"/>
      <c r="O1088" s="288"/>
      <c r="P1088" s="205"/>
      <c r="Q1088" s="236">
        <f t="shared" si="480"/>
        <v>0</v>
      </c>
      <c r="R1088" s="236">
        <f t="shared" si="481"/>
        <v>0</v>
      </c>
      <c r="S1088" s="236"/>
      <c r="T1088" s="236"/>
      <c r="U1088" s="236">
        <f t="shared" si="482"/>
        <v>0</v>
      </c>
      <c r="V1088" s="236"/>
      <c r="W1088" s="232">
        <f t="shared" si="483"/>
        <v>0</v>
      </c>
      <c r="X1088" s="236"/>
      <c r="Y1088" s="236"/>
      <c r="Z1088" s="236"/>
    </row>
    <row r="1089" spans="1:26" hidden="1" outlineLevel="2">
      <c r="A1089" s="19"/>
      <c r="B1089" s="38"/>
      <c r="C1089" s="207"/>
      <c r="D1089" s="208"/>
      <c r="E1089" s="133"/>
      <c r="F1089" s="261"/>
      <c r="G1089" s="138"/>
      <c r="H1089" s="135"/>
      <c r="I1089" s="206"/>
      <c r="J1089" s="206"/>
      <c r="K1089" s="206"/>
      <c r="L1089" s="137"/>
      <c r="M1089" s="163"/>
      <c r="N1089" s="163"/>
      <c r="O1089" s="288"/>
      <c r="P1089" s="205"/>
      <c r="Q1089" s="236">
        <f t="shared" si="480"/>
        <v>0</v>
      </c>
      <c r="R1089" s="236">
        <f t="shared" si="481"/>
        <v>0</v>
      </c>
      <c r="S1089" s="236"/>
      <c r="T1089" s="236"/>
      <c r="U1089" s="236">
        <f t="shared" si="482"/>
        <v>0</v>
      </c>
      <c r="V1089" s="236"/>
      <c r="W1089" s="232">
        <f t="shared" si="483"/>
        <v>0</v>
      </c>
      <c r="X1089" s="236"/>
      <c r="Y1089" s="236"/>
      <c r="Z1089" s="236"/>
    </row>
    <row r="1090" spans="1:26" hidden="1" outlineLevel="2">
      <c r="A1090" s="160"/>
      <c r="B1090" s="38"/>
      <c r="C1090" s="207"/>
      <c r="D1090" s="208"/>
      <c r="E1090" s="133"/>
      <c r="F1090" s="261"/>
      <c r="G1090" s="138"/>
      <c r="H1090" s="139"/>
      <c r="I1090" s="206"/>
      <c r="J1090" s="206"/>
      <c r="K1090" s="206"/>
      <c r="L1090" s="137"/>
      <c r="M1090" s="74"/>
      <c r="N1090" s="74"/>
      <c r="O1090" s="19"/>
      <c r="P1090" s="205"/>
      <c r="Q1090" s="236">
        <f t="shared" si="480"/>
        <v>0</v>
      </c>
      <c r="R1090" s="236">
        <f t="shared" si="481"/>
        <v>0</v>
      </c>
      <c r="S1090" s="235"/>
      <c r="T1090" s="235"/>
      <c r="U1090" s="236">
        <f t="shared" si="482"/>
        <v>0</v>
      </c>
      <c r="V1090" s="235"/>
      <c r="W1090" s="232">
        <f t="shared" si="483"/>
        <v>0</v>
      </c>
      <c r="X1090" s="235"/>
      <c r="Y1090" s="235"/>
      <c r="Z1090" s="235"/>
    </row>
    <row r="1091" spans="1:26" hidden="1" outlineLevel="2">
      <c r="A1091" s="160"/>
      <c r="B1091" s="38"/>
      <c r="C1091" s="207"/>
      <c r="D1091" s="208"/>
      <c r="E1091" s="133"/>
      <c r="F1091" s="261"/>
      <c r="G1091" s="138"/>
      <c r="H1091" s="139"/>
      <c r="I1091" s="206"/>
      <c r="J1091" s="206"/>
      <c r="K1091" s="206"/>
      <c r="L1091" s="137"/>
      <c r="M1091" s="74"/>
      <c r="N1091" s="19"/>
      <c r="O1091" s="19"/>
      <c r="P1091" s="205"/>
      <c r="Q1091" s="236">
        <f t="shared" si="480"/>
        <v>0</v>
      </c>
      <c r="R1091" s="236">
        <f t="shared" si="481"/>
        <v>0</v>
      </c>
      <c r="S1091" s="235"/>
      <c r="T1091" s="235"/>
      <c r="U1091" s="236">
        <f t="shared" si="482"/>
        <v>0</v>
      </c>
      <c r="V1091" s="235"/>
      <c r="W1091" s="232">
        <f t="shared" si="483"/>
        <v>0</v>
      </c>
      <c r="X1091" s="235"/>
      <c r="Y1091" s="235"/>
      <c r="Z1091" s="235"/>
    </row>
    <row r="1092" spans="1:26" hidden="1" outlineLevel="2">
      <c r="A1092" s="160"/>
      <c r="B1092" s="38"/>
      <c r="C1092" s="207"/>
      <c r="D1092" s="208"/>
      <c r="E1092" s="133"/>
      <c r="F1092" s="261"/>
      <c r="G1092" s="138"/>
      <c r="H1092" s="139"/>
      <c r="I1092" s="206"/>
      <c r="J1092" s="206"/>
      <c r="K1092" s="206"/>
      <c r="L1092" s="137"/>
      <c r="M1092" s="74"/>
      <c r="N1092" s="19"/>
      <c r="O1092" s="19"/>
      <c r="P1092" s="205"/>
      <c r="Q1092" s="236">
        <f t="shared" si="480"/>
        <v>0</v>
      </c>
      <c r="R1092" s="236">
        <f>SUM(S1092:T1092)</f>
        <v>0</v>
      </c>
      <c r="S1092" s="235"/>
      <c r="T1092" s="235"/>
      <c r="U1092" s="236">
        <f t="shared" si="482"/>
        <v>0</v>
      </c>
      <c r="V1092" s="235"/>
      <c r="W1092" s="232">
        <f t="shared" si="483"/>
        <v>0</v>
      </c>
      <c r="X1092" s="235"/>
      <c r="Y1092" s="235"/>
      <c r="Z1092" s="235"/>
    </row>
    <row r="1093" spans="1:26" hidden="1" outlineLevel="2">
      <c r="A1093" s="164"/>
      <c r="B1093" s="351"/>
      <c r="C1093" s="227"/>
      <c r="D1093" s="228"/>
      <c r="E1093" s="165"/>
      <c r="F1093" s="279"/>
      <c r="G1093" s="166"/>
      <c r="H1093" s="167"/>
      <c r="I1093" s="229"/>
      <c r="J1093" s="229"/>
      <c r="K1093" s="229"/>
      <c r="L1093" s="137"/>
      <c r="M1093" s="351"/>
      <c r="N1093" s="168"/>
      <c r="O1093" s="168"/>
      <c r="P1093" s="231"/>
      <c r="Q1093" s="233"/>
      <c r="R1093" s="233"/>
      <c r="S1093" s="233"/>
      <c r="T1093" s="233"/>
      <c r="U1093" s="233"/>
      <c r="V1093" s="233"/>
      <c r="W1093" s="233"/>
      <c r="X1093" s="233"/>
      <c r="Y1093" s="233"/>
      <c r="Z1093" s="233"/>
    </row>
    <row r="1094" spans="1:26" s="75" customFormat="1" outlineLevel="1" collapsed="1">
      <c r="A1094" s="237"/>
      <c r="B1094" s="238"/>
      <c r="C1094" s="239"/>
      <c r="D1094" s="240"/>
      <c r="E1094" s="241"/>
      <c r="F1094" s="264"/>
      <c r="G1094" s="242"/>
      <c r="H1094" s="243"/>
      <c r="I1094" s="244"/>
      <c r="J1094" s="244"/>
      <c r="K1094" s="244"/>
      <c r="L1094" s="150" t="str">
        <f>CONCATENATE(L1095," ",N1095,M1095," ",L1096," ",N1096,M1096," "," ",L1097," ",N1097,M1097," ",L1098," ",N1098,M1098," ",L1099," ",N1099,M1099," ",L1100," ",N1100,M1100," ",L1101," ",N1101,M1101," ",L1102," ",N1102,M1102)</f>
        <v xml:space="preserve">                </v>
      </c>
      <c r="M1094" s="243"/>
      <c r="N1094" s="243"/>
      <c r="O1094" s="287">
        <f>SUM(O1095:O1102)</f>
        <v>0</v>
      </c>
      <c r="P1094" s="245"/>
      <c r="Q1094" s="246">
        <f>SUM(Q1095:Q1102)</f>
        <v>0</v>
      </c>
      <c r="R1094" s="246">
        <f t="shared" ref="R1094:Y1094" si="484">SUM(R1095:R1102)</f>
        <v>0</v>
      </c>
      <c r="S1094" s="246">
        <f t="shared" si="484"/>
        <v>0</v>
      </c>
      <c r="T1094" s="246">
        <f t="shared" si="484"/>
        <v>0</v>
      </c>
      <c r="U1094" s="246">
        <f t="shared" si="484"/>
        <v>0</v>
      </c>
      <c r="V1094" s="246">
        <f t="shared" si="484"/>
        <v>0</v>
      </c>
      <c r="W1094" s="246">
        <f t="shared" si="484"/>
        <v>0</v>
      </c>
      <c r="X1094" s="246">
        <f t="shared" si="484"/>
        <v>0</v>
      </c>
      <c r="Y1094" s="246">
        <f t="shared" si="484"/>
        <v>0</v>
      </c>
      <c r="Z1094" s="246">
        <f>SUM(Z1095:Z1102)</f>
        <v>0</v>
      </c>
    </row>
    <row r="1095" spans="1:26" hidden="1" outlineLevel="2">
      <c r="A1095" s="19"/>
      <c r="B1095" s="38"/>
      <c r="C1095" s="207"/>
      <c r="D1095" s="208"/>
      <c r="E1095" s="133"/>
      <c r="F1095" s="261"/>
      <c r="G1095" s="138"/>
      <c r="H1095" s="135"/>
      <c r="I1095" s="206"/>
      <c r="J1095" s="206"/>
      <c r="K1095" s="206"/>
      <c r="L1095" s="137"/>
      <c r="M1095" s="163"/>
      <c r="N1095" s="163"/>
      <c r="O1095" s="288"/>
      <c r="P1095" s="205"/>
      <c r="Q1095" s="236">
        <f>SUM(R1095,U1095)</f>
        <v>0</v>
      </c>
      <c r="R1095" s="236">
        <f>SUM(S1095:T1095)</f>
        <v>0</v>
      </c>
      <c r="S1095" s="236"/>
      <c r="T1095" s="236"/>
      <c r="U1095" s="236">
        <f>SUM(V1095:Y1095)</f>
        <v>0</v>
      </c>
      <c r="V1095" s="236"/>
      <c r="W1095" s="232">
        <f>V1095*0.304</f>
        <v>0</v>
      </c>
      <c r="X1095" s="236"/>
      <c r="Y1095" s="236"/>
      <c r="Z1095" s="236"/>
    </row>
    <row r="1096" spans="1:26" hidden="1" outlineLevel="2">
      <c r="A1096" s="19"/>
      <c r="B1096" s="38"/>
      <c r="C1096" s="207"/>
      <c r="D1096" s="208"/>
      <c r="E1096" s="133"/>
      <c r="F1096" s="261"/>
      <c r="G1096" s="138"/>
      <c r="H1096" s="135"/>
      <c r="I1096" s="206"/>
      <c r="J1096" s="206"/>
      <c r="K1096" s="206"/>
      <c r="L1096" s="137"/>
      <c r="M1096" s="163"/>
      <c r="N1096" s="163"/>
      <c r="O1096" s="288"/>
      <c r="P1096" s="205"/>
      <c r="Q1096" s="236">
        <f t="shared" ref="Q1096:Q1102" si="485">SUM(R1096,U1096)</f>
        <v>0</v>
      </c>
      <c r="R1096" s="236">
        <f t="shared" ref="R1096:R1101" si="486">SUM(S1096:T1096)</f>
        <v>0</v>
      </c>
      <c r="S1096" s="236"/>
      <c r="T1096" s="236"/>
      <c r="U1096" s="236">
        <f t="shared" ref="U1096:U1102" si="487">SUM(V1096:Y1096)</f>
        <v>0</v>
      </c>
      <c r="V1096" s="236"/>
      <c r="W1096" s="232">
        <f t="shared" ref="W1096:W1102" si="488">V1096*0.304</f>
        <v>0</v>
      </c>
      <c r="X1096" s="236"/>
      <c r="Y1096" s="236"/>
      <c r="Z1096" s="236"/>
    </row>
    <row r="1097" spans="1:26" hidden="1" outlineLevel="2">
      <c r="A1097" s="19"/>
      <c r="B1097" s="38"/>
      <c r="C1097" s="207"/>
      <c r="D1097" s="208"/>
      <c r="E1097" s="133"/>
      <c r="F1097" s="261"/>
      <c r="G1097" s="138"/>
      <c r="H1097" s="135"/>
      <c r="I1097" s="206"/>
      <c r="J1097" s="206"/>
      <c r="K1097" s="206"/>
      <c r="L1097" s="137"/>
      <c r="M1097" s="163"/>
      <c r="N1097" s="163"/>
      <c r="O1097" s="288"/>
      <c r="P1097" s="205"/>
      <c r="Q1097" s="236">
        <f t="shared" si="485"/>
        <v>0</v>
      </c>
      <c r="R1097" s="236">
        <f t="shared" si="486"/>
        <v>0</v>
      </c>
      <c r="S1097" s="236"/>
      <c r="T1097" s="236"/>
      <c r="U1097" s="236">
        <f t="shared" si="487"/>
        <v>0</v>
      </c>
      <c r="V1097" s="236"/>
      <c r="W1097" s="232">
        <f t="shared" si="488"/>
        <v>0</v>
      </c>
      <c r="X1097" s="236"/>
      <c r="Y1097" s="236"/>
      <c r="Z1097" s="236"/>
    </row>
    <row r="1098" spans="1:26" hidden="1" outlineLevel="2">
      <c r="A1098" s="19"/>
      <c r="B1098" s="38"/>
      <c r="C1098" s="207"/>
      <c r="D1098" s="208"/>
      <c r="E1098" s="133"/>
      <c r="F1098" s="261"/>
      <c r="G1098" s="138"/>
      <c r="H1098" s="135"/>
      <c r="I1098" s="206"/>
      <c r="J1098" s="206"/>
      <c r="K1098" s="206"/>
      <c r="L1098" s="137"/>
      <c r="M1098" s="163"/>
      <c r="N1098" s="163"/>
      <c r="O1098" s="288"/>
      <c r="P1098" s="205"/>
      <c r="Q1098" s="236">
        <f t="shared" si="485"/>
        <v>0</v>
      </c>
      <c r="R1098" s="236">
        <f t="shared" si="486"/>
        <v>0</v>
      </c>
      <c r="S1098" s="236"/>
      <c r="T1098" s="236"/>
      <c r="U1098" s="236">
        <f t="shared" si="487"/>
        <v>0</v>
      </c>
      <c r="V1098" s="236"/>
      <c r="W1098" s="232">
        <f t="shared" si="488"/>
        <v>0</v>
      </c>
      <c r="X1098" s="236"/>
      <c r="Y1098" s="236"/>
      <c r="Z1098" s="236"/>
    </row>
    <row r="1099" spans="1:26" hidden="1" outlineLevel="2">
      <c r="A1099" s="19"/>
      <c r="B1099" s="38"/>
      <c r="C1099" s="207"/>
      <c r="D1099" s="208"/>
      <c r="E1099" s="133"/>
      <c r="F1099" s="261"/>
      <c r="G1099" s="138"/>
      <c r="H1099" s="135"/>
      <c r="I1099" s="206"/>
      <c r="J1099" s="206"/>
      <c r="K1099" s="206"/>
      <c r="L1099" s="137"/>
      <c r="M1099" s="163"/>
      <c r="N1099" s="163"/>
      <c r="O1099" s="288"/>
      <c r="P1099" s="205"/>
      <c r="Q1099" s="236">
        <f t="shared" si="485"/>
        <v>0</v>
      </c>
      <c r="R1099" s="236">
        <f t="shared" si="486"/>
        <v>0</v>
      </c>
      <c r="S1099" s="236"/>
      <c r="T1099" s="236"/>
      <c r="U1099" s="236">
        <f t="shared" si="487"/>
        <v>0</v>
      </c>
      <c r="V1099" s="236"/>
      <c r="W1099" s="232">
        <f t="shared" si="488"/>
        <v>0</v>
      </c>
      <c r="X1099" s="236"/>
      <c r="Y1099" s="236"/>
      <c r="Z1099" s="236"/>
    </row>
    <row r="1100" spans="1:26" hidden="1" outlineLevel="2">
      <c r="A1100" s="160"/>
      <c r="B1100" s="38"/>
      <c r="C1100" s="207"/>
      <c r="D1100" s="208"/>
      <c r="E1100" s="133"/>
      <c r="F1100" s="261"/>
      <c r="G1100" s="138"/>
      <c r="H1100" s="139"/>
      <c r="I1100" s="206"/>
      <c r="J1100" s="206"/>
      <c r="K1100" s="206"/>
      <c r="L1100" s="137"/>
      <c r="M1100" s="74"/>
      <c r="N1100" s="74"/>
      <c r="O1100" s="19"/>
      <c r="P1100" s="205"/>
      <c r="Q1100" s="236">
        <f t="shared" si="485"/>
        <v>0</v>
      </c>
      <c r="R1100" s="236">
        <f t="shared" si="486"/>
        <v>0</v>
      </c>
      <c r="S1100" s="235"/>
      <c r="T1100" s="235"/>
      <c r="U1100" s="236">
        <f t="shared" si="487"/>
        <v>0</v>
      </c>
      <c r="V1100" s="235"/>
      <c r="W1100" s="232">
        <f t="shared" si="488"/>
        <v>0</v>
      </c>
      <c r="X1100" s="235"/>
      <c r="Y1100" s="235"/>
      <c r="Z1100" s="235"/>
    </row>
    <row r="1101" spans="1:26" hidden="1" outlineLevel="2">
      <c r="A1101" s="160"/>
      <c r="B1101" s="38"/>
      <c r="C1101" s="207"/>
      <c r="D1101" s="208"/>
      <c r="E1101" s="133"/>
      <c r="F1101" s="261"/>
      <c r="G1101" s="138"/>
      <c r="H1101" s="139"/>
      <c r="I1101" s="206"/>
      <c r="J1101" s="206"/>
      <c r="K1101" s="206"/>
      <c r="L1101" s="137"/>
      <c r="M1101" s="74"/>
      <c r="N1101" s="19"/>
      <c r="O1101" s="19"/>
      <c r="P1101" s="205"/>
      <c r="Q1101" s="236">
        <f t="shared" si="485"/>
        <v>0</v>
      </c>
      <c r="R1101" s="236">
        <f t="shared" si="486"/>
        <v>0</v>
      </c>
      <c r="S1101" s="235"/>
      <c r="T1101" s="235"/>
      <c r="U1101" s="236">
        <f t="shared" si="487"/>
        <v>0</v>
      </c>
      <c r="V1101" s="235"/>
      <c r="W1101" s="232">
        <f t="shared" si="488"/>
        <v>0</v>
      </c>
      <c r="X1101" s="235"/>
      <c r="Y1101" s="235"/>
      <c r="Z1101" s="235"/>
    </row>
    <row r="1102" spans="1:26" hidden="1" outlineLevel="2">
      <c r="A1102" s="160"/>
      <c r="B1102" s="38"/>
      <c r="C1102" s="207"/>
      <c r="D1102" s="208"/>
      <c r="E1102" s="133"/>
      <c r="F1102" s="261"/>
      <c r="G1102" s="138"/>
      <c r="H1102" s="139"/>
      <c r="I1102" s="206"/>
      <c r="J1102" s="206"/>
      <c r="K1102" s="206"/>
      <c r="L1102" s="137"/>
      <c r="M1102" s="74"/>
      <c r="N1102" s="19"/>
      <c r="O1102" s="19"/>
      <c r="P1102" s="205"/>
      <c r="Q1102" s="236">
        <f t="shared" si="485"/>
        <v>0</v>
      </c>
      <c r="R1102" s="236">
        <f>SUM(S1102:T1102)</f>
        <v>0</v>
      </c>
      <c r="S1102" s="235"/>
      <c r="T1102" s="235"/>
      <c r="U1102" s="236">
        <f t="shared" si="487"/>
        <v>0</v>
      </c>
      <c r="V1102" s="235"/>
      <c r="W1102" s="232">
        <f t="shared" si="488"/>
        <v>0</v>
      </c>
      <c r="X1102" s="235"/>
      <c r="Y1102" s="235"/>
      <c r="Z1102" s="235"/>
    </row>
    <row r="1103" spans="1:26" hidden="1" outlineLevel="2">
      <c r="A1103" s="164"/>
      <c r="B1103" s="351"/>
      <c r="C1103" s="227"/>
      <c r="D1103" s="228"/>
      <c r="E1103" s="165"/>
      <c r="F1103" s="279"/>
      <c r="G1103" s="166"/>
      <c r="H1103" s="167"/>
      <c r="I1103" s="229"/>
      <c r="J1103" s="229"/>
      <c r="K1103" s="229"/>
      <c r="L1103" s="137"/>
      <c r="M1103" s="351"/>
      <c r="N1103" s="168"/>
      <c r="O1103" s="168"/>
      <c r="P1103" s="231"/>
      <c r="Q1103" s="233"/>
      <c r="R1103" s="233"/>
      <c r="S1103" s="233"/>
      <c r="T1103" s="233"/>
      <c r="U1103" s="233"/>
      <c r="V1103" s="233"/>
      <c r="W1103" s="233"/>
      <c r="X1103" s="233"/>
      <c r="Y1103" s="233"/>
      <c r="Z1103" s="233"/>
    </row>
    <row r="1104" spans="1:26" s="75" customFormat="1" outlineLevel="1" collapsed="1">
      <c r="A1104" s="237"/>
      <c r="B1104" s="238"/>
      <c r="C1104" s="239"/>
      <c r="D1104" s="240"/>
      <c r="E1104" s="241"/>
      <c r="F1104" s="264"/>
      <c r="G1104" s="242"/>
      <c r="H1104" s="243"/>
      <c r="I1104" s="244"/>
      <c r="J1104" s="244"/>
      <c r="K1104" s="244"/>
      <c r="L1104" s="150" t="str">
        <f>CONCATENATE(L1105," ",N1105,M1105," ",L1106," ",N1106,M1106," "," ",L1107," ",N1107,M1107," ",L1108," ",N1108,M1108," ",L1109," ",N1109,M1109," ",L1110," ",N1110,M1110," ",L1111," ",N1111,M1111," ",L1112," ",N1112,M1112)</f>
        <v xml:space="preserve">                </v>
      </c>
      <c r="M1104" s="243"/>
      <c r="N1104" s="243"/>
      <c r="O1104" s="287">
        <f>SUM(O1105:O1112)</f>
        <v>0</v>
      </c>
      <c r="P1104" s="245"/>
      <c r="Q1104" s="246">
        <f>SUM(Q1105:Q1112)</f>
        <v>0</v>
      </c>
      <c r="R1104" s="246">
        <f t="shared" ref="R1104:Y1104" si="489">SUM(R1105:R1112)</f>
        <v>0</v>
      </c>
      <c r="S1104" s="246">
        <f t="shared" si="489"/>
        <v>0</v>
      </c>
      <c r="T1104" s="246">
        <f t="shared" si="489"/>
        <v>0</v>
      </c>
      <c r="U1104" s="246">
        <f t="shared" si="489"/>
        <v>0</v>
      </c>
      <c r="V1104" s="246">
        <f t="shared" si="489"/>
        <v>0</v>
      </c>
      <c r="W1104" s="246">
        <f t="shared" si="489"/>
        <v>0</v>
      </c>
      <c r="X1104" s="246">
        <f t="shared" si="489"/>
        <v>0</v>
      </c>
      <c r="Y1104" s="246">
        <f t="shared" si="489"/>
        <v>0</v>
      </c>
      <c r="Z1104" s="246">
        <f>SUM(Z1105:Z1112)</f>
        <v>0</v>
      </c>
    </row>
    <row r="1105" spans="1:26" hidden="1" outlineLevel="2">
      <c r="A1105" s="19"/>
      <c r="B1105" s="38"/>
      <c r="C1105" s="207"/>
      <c r="D1105" s="208"/>
      <c r="E1105" s="133"/>
      <c r="F1105" s="261"/>
      <c r="G1105" s="138"/>
      <c r="H1105" s="135"/>
      <c r="I1105" s="206"/>
      <c r="J1105" s="206"/>
      <c r="K1105" s="206"/>
      <c r="L1105" s="137"/>
      <c r="M1105" s="163"/>
      <c r="N1105" s="163"/>
      <c r="O1105" s="288"/>
      <c r="P1105" s="205"/>
      <c r="Q1105" s="236">
        <f>SUM(R1105,U1105)</f>
        <v>0</v>
      </c>
      <c r="R1105" s="236">
        <f>SUM(S1105:T1105)</f>
        <v>0</v>
      </c>
      <c r="S1105" s="236"/>
      <c r="T1105" s="236"/>
      <c r="U1105" s="236">
        <f>SUM(V1105:Y1105)</f>
        <v>0</v>
      </c>
      <c r="V1105" s="236"/>
      <c r="W1105" s="232">
        <f>V1105*0.304</f>
        <v>0</v>
      </c>
      <c r="X1105" s="236"/>
      <c r="Y1105" s="236"/>
      <c r="Z1105" s="236"/>
    </row>
    <row r="1106" spans="1:26" hidden="1" outlineLevel="2">
      <c r="A1106" s="19"/>
      <c r="B1106" s="38"/>
      <c r="C1106" s="207"/>
      <c r="D1106" s="208"/>
      <c r="E1106" s="133"/>
      <c r="F1106" s="261"/>
      <c r="G1106" s="138"/>
      <c r="H1106" s="135"/>
      <c r="I1106" s="206"/>
      <c r="J1106" s="206"/>
      <c r="K1106" s="206"/>
      <c r="L1106" s="137"/>
      <c r="M1106" s="163"/>
      <c r="N1106" s="163"/>
      <c r="O1106" s="288"/>
      <c r="P1106" s="205"/>
      <c r="Q1106" s="236">
        <f t="shared" ref="Q1106:Q1112" si="490">SUM(R1106,U1106)</f>
        <v>0</v>
      </c>
      <c r="R1106" s="236">
        <f t="shared" ref="R1106:R1111" si="491">SUM(S1106:T1106)</f>
        <v>0</v>
      </c>
      <c r="S1106" s="236"/>
      <c r="T1106" s="236"/>
      <c r="U1106" s="236">
        <f t="shared" ref="U1106:U1112" si="492">SUM(V1106:Y1106)</f>
        <v>0</v>
      </c>
      <c r="V1106" s="236"/>
      <c r="W1106" s="232">
        <f t="shared" ref="W1106:W1112" si="493">V1106*0.304</f>
        <v>0</v>
      </c>
      <c r="X1106" s="236"/>
      <c r="Y1106" s="236"/>
      <c r="Z1106" s="236"/>
    </row>
    <row r="1107" spans="1:26" hidden="1" outlineLevel="2">
      <c r="A1107" s="19"/>
      <c r="B1107" s="38"/>
      <c r="C1107" s="207"/>
      <c r="D1107" s="208"/>
      <c r="E1107" s="133"/>
      <c r="F1107" s="261"/>
      <c r="G1107" s="138"/>
      <c r="H1107" s="135"/>
      <c r="I1107" s="206"/>
      <c r="J1107" s="206"/>
      <c r="K1107" s="206"/>
      <c r="L1107" s="137"/>
      <c r="M1107" s="163"/>
      <c r="N1107" s="163"/>
      <c r="O1107" s="288"/>
      <c r="P1107" s="205"/>
      <c r="Q1107" s="236">
        <f t="shared" si="490"/>
        <v>0</v>
      </c>
      <c r="R1107" s="236">
        <f t="shared" si="491"/>
        <v>0</v>
      </c>
      <c r="S1107" s="236"/>
      <c r="T1107" s="236"/>
      <c r="U1107" s="236">
        <f t="shared" si="492"/>
        <v>0</v>
      </c>
      <c r="V1107" s="236"/>
      <c r="W1107" s="232">
        <f t="shared" si="493"/>
        <v>0</v>
      </c>
      <c r="X1107" s="236"/>
      <c r="Y1107" s="236"/>
      <c r="Z1107" s="236"/>
    </row>
    <row r="1108" spans="1:26" hidden="1" outlineLevel="2">
      <c r="A1108" s="19"/>
      <c r="B1108" s="38"/>
      <c r="C1108" s="207"/>
      <c r="D1108" s="208"/>
      <c r="E1108" s="133"/>
      <c r="F1108" s="261"/>
      <c r="G1108" s="138"/>
      <c r="H1108" s="135"/>
      <c r="I1108" s="206"/>
      <c r="J1108" s="206"/>
      <c r="K1108" s="206"/>
      <c r="L1108" s="137"/>
      <c r="M1108" s="163"/>
      <c r="N1108" s="163"/>
      <c r="O1108" s="288"/>
      <c r="P1108" s="205"/>
      <c r="Q1108" s="236">
        <f t="shared" si="490"/>
        <v>0</v>
      </c>
      <c r="R1108" s="236">
        <f t="shared" si="491"/>
        <v>0</v>
      </c>
      <c r="S1108" s="236"/>
      <c r="T1108" s="236"/>
      <c r="U1108" s="236">
        <f t="shared" si="492"/>
        <v>0</v>
      </c>
      <c r="V1108" s="236"/>
      <c r="W1108" s="232">
        <f t="shared" si="493"/>
        <v>0</v>
      </c>
      <c r="X1108" s="236"/>
      <c r="Y1108" s="236"/>
      <c r="Z1108" s="236"/>
    </row>
    <row r="1109" spans="1:26" hidden="1" outlineLevel="2">
      <c r="A1109" s="19"/>
      <c r="B1109" s="38"/>
      <c r="C1109" s="207"/>
      <c r="D1109" s="208"/>
      <c r="E1109" s="133"/>
      <c r="F1109" s="261"/>
      <c r="G1109" s="138"/>
      <c r="H1109" s="135"/>
      <c r="I1109" s="206"/>
      <c r="J1109" s="206"/>
      <c r="K1109" s="206"/>
      <c r="L1109" s="137"/>
      <c r="M1109" s="163"/>
      <c r="N1109" s="163"/>
      <c r="O1109" s="288"/>
      <c r="P1109" s="205"/>
      <c r="Q1109" s="236">
        <f t="shared" si="490"/>
        <v>0</v>
      </c>
      <c r="R1109" s="236">
        <f t="shared" si="491"/>
        <v>0</v>
      </c>
      <c r="S1109" s="236"/>
      <c r="T1109" s="236"/>
      <c r="U1109" s="236">
        <f t="shared" si="492"/>
        <v>0</v>
      </c>
      <c r="V1109" s="236"/>
      <c r="W1109" s="232">
        <f t="shared" si="493"/>
        <v>0</v>
      </c>
      <c r="X1109" s="236"/>
      <c r="Y1109" s="236"/>
      <c r="Z1109" s="236"/>
    </row>
    <row r="1110" spans="1:26" hidden="1" outlineLevel="2">
      <c r="A1110" s="160"/>
      <c r="B1110" s="38"/>
      <c r="C1110" s="207"/>
      <c r="D1110" s="208"/>
      <c r="E1110" s="133"/>
      <c r="F1110" s="261"/>
      <c r="G1110" s="138"/>
      <c r="H1110" s="139"/>
      <c r="I1110" s="206"/>
      <c r="J1110" s="206"/>
      <c r="K1110" s="206"/>
      <c r="L1110" s="137"/>
      <c r="M1110" s="74"/>
      <c r="N1110" s="74"/>
      <c r="O1110" s="19"/>
      <c r="P1110" s="205"/>
      <c r="Q1110" s="236">
        <f t="shared" si="490"/>
        <v>0</v>
      </c>
      <c r="R1110" s="236">
        <f t="shared" si="491"/>
        <v>0</v>
      </c>
      <c r="S1110" s="235"/>
      <c r="T1110" s="235"/>
      <c r="U1110" s="236">
        <f t="shared" si="492"/>
        <v>0</v>
      </c>
      <c r="V1110" s="235"/>
      <c r="W1110" s="232">
        <f t="shared" si="493"/>
        <v>0</v>
      </c>
      <c r="X1110" s="235"/>
      <c r="Y1110" s="235"/>
      <c r="Z1110" s="235"/>
    </row>
    <row r="1111" spans="1:26" hidden="1" outlineLevel="2">
      <c r="A1111" s="160"/>
      <c r="B1111" s="38"/>
      <c r="C1111" s="207"/>
      <c r="D1111" s="208"/>
      <c r="E1111" s="133"/>
      <c r="F1111" s="261"/>
      <c r="G1111" s="138"/>
      <c r="H1111" s="139"/>
      <c r="I1111" s="206"/>
      <c r="J1111" s="206"/>
      <c r="K1111" s="206"/>
      <c r="L1111" s="137"/>
      <c r="M1111" s="74"/>
      <c r="N1111" s="19"/>
      <c r="O1111" s="19"/>
      <c r="P1111" s="205"/>
      <c r="Q1111" s="236">
        <f t="shared" si="490"/>
        <v>0</v>
      </c>
      <c r="R1111" s="236">
        <f t="shared" si="491"/>
        <v>0</v>
      </c>
      <c r="S1111" s="235"/>
      <c r="T1111" s="235"/>
      <c r="U1111" s="236">
        <f t="shared" si="492"/>
        <v>0</v>
      </c>
      <c r="V1111" s="235"/>
      <c r="W1111" s="232">
        <f t="shared" si="493"/>
        <v>0</v>
      </c>
      <c r="X1111" s="235"/>
      <c r="Y1111" s="235"/>
      <c r="Z1111" s="235"/>
    </row>
    <row r="1112" spans="1:26" hidden="1" outlineLevel="2">
      <c r="A1112" s="160"/>
      <c r="B1112" s="38"/>
      <c r="C1112" s="207"/>
      <c r="D1112" s="208"/>
      <c r="E1112" s="133"/>
      <c r="F1112" s="261"/>
      <c r="G1112" s="138"/>
      <c r="H1112" s="139"/>
      <c r="I1112" s="206"/>
      <c r="J1112" s="206"/>
      <c r="K1112" s="206"/>
      <c r="L1112" s="137"/>
      <c r="M1112" s="74"/>
      <c r="N1112" s="19"/>
      <c r="O1112" s="19"/>
      <c r="P1112" s="205"/>
      <c r="Q1112" s="236">
        <f t="shared" si="490"/>
        <v>0</v>
      </c>
      <c r="R1112" s="236">
        <f>SUM(S1112:T1112)</f>
        <v>0</v>
      </c>
      <c r="S1112" s="235"/>
      <c r="T1112" s="235"/>
      <c r="U1112" s="236">
        <f t="shared" si="492"/>
        <v>0</v>
      </c>
      <c r="V1112" s="235"/>
      <c r="W1112" s="232">
        <f t="shared" si="493"/>
        <v>0</v>
      </c>
      <c r="X1112" s="235"/>
      <c r="Y1112" s="235"/>
      <c r="Z1112" s="235"/>
    </row>
    <row r="1113" spans="1:26" hidden="1" outlineLevel="2">
      <c r="A1113" s="164"/>
      <c r="B1113" s="351"/>
      <c r="C1113" s="227"/>
      <c r="D1113" s="228"/>
      <c r="E1113" s="165"/>
      <c r="F1113" s="279"/>
      <c r="G1113" s="166"/>
      <c r="H1113" s="167"/>
      <c r="I1113" s="229"/>
      <c r="J1113" s="229"/>
      <c r="K1113" s="229"/>
      <c r="L1113" s="137"/>
      <c r="M1113" s="351"/>
      <c r="N1113" s="168"/>
      <c r="O1113" s="168"/>
      <c r="P1113" s="231"/>
      <c r="Q1113" s="233"/>
      <c r="R1113" s="233"/>
      <c r="S1113" s="233"/>
      <c r="T1113" s="233"/>
      <c r="U1113" s="233"/>
      <c r="V1113" s="233"/>
      <c r="W1113" s="233"/>
      <c r="X1113" s="233"/>
      <c r="Y1113" s="233"/>
      <c r="Z1113" s="233"/>
    </row>
    <row r="1114" spans="1:26" s="75" customFormat="1" outlineLevel="1" collapsed="1">
      <c r="A1114" s="237"/>
      <c r="B1114" s="238"/>
      <c r="C1114" s="239"/>
      <c r="D1114" s="240"/>
      <c r="E1114" s="241"/>
      <c r="F1114" s="264"/>
      <c r="G1114" s="242"/>
      <c r="H1114" s="243"/>
      <c r="I1114" s="244"/>
      <c r="J1114" s="244"/>
      <c r="K1114" s="244"/>
      <c r="L1114" s="150" t="str">
        <f>CONCATENATE(L1115," ",N1115,M1115," ",L1116," ",N1116,M1116," "," ",L1117," ",N1117,M1117," ",L1118," ",N1118,M1118," ",L1119," ",N1119,M1119," ",L1120," ",N1120,M1120," ",L1121," ",N1121,M1121," ",L1122," ",N1122,M1122)</f>
        <v xml:space="preserve">                </v>
      </c>
      <c r="M1114" s="243"/>
      <c r="N1114" s="243"/>
      <c r="O1114" s="287">
        <f>SUM(O1115:O1122)</f>
        <v>0</v>
      </c>
      <c r="P1114" s="245"/>
      <c r="Q1114" s="246">
        <f>SUM(Q1115:Q1122)</f>
        <v>0</v>
      </c>
      <c r="R1114" s="246">
        <f t="shared" ref="R1114:Y1114" si="494">SUM(R1115:R1122)</f>
        <v>0</v>
      </c>
      <c r="S1114" s="246">
        <f t="shared" si="494"/>
        <v>0</v>
      </c>
      <c r="T1114" s="246">
        <f t="shared" si="494"/>
        <v>0</v>
      </c>
      <c r="U1114" s="246">
        <f t="shared" si="494"/>
        <v>0</v>
      </c>
      <c r="V1114" s="246">
        <f t="shared" si="494"/>
        <v>0</v>
      </c>
      <c r="W1114" s="246">
        <f t="shared" si="494"/>
        <v>0</v>
      </c>
      <c r="X1114" s="246">
        <f t="shared" si="494"/>
        <v>0</v>
      </c>
      <c r="Y1114" s="246">
        <f t="shared" si="494"/>
        <v>0</v>
      </c>
      <c r="Z1114" s="246">
        <f>SUM(Z1115:Z1122)</f>
        <v>0</v>
      </c>
    </row>
    <row r="1115" spans="1:26" hidden="1" outlineLevel="2">
      <c r="A1115" s="19"/>
      <c r="B1115" s="38"/>
      <c r="C1115" s="207"/>
      <c r="D1115" s="208"/>
      <c r="E1115" s="133"/>
      <c r="F1115" s="261"/>
      <c r="G1115" s="138"/>
      <c r="H1115" s="135"/>
      <c r="I1115" s="206"/>
      <c r="J1115" s="206"/>
      <c r="K1115" s="206"/>
      <c r="L1115" s="137"/>
      <c r="M1115" s="163"/>
      <c r="N1115" s="163"/>
      <c r="O1115" s="288"/>
      <c r="P1115" s="205"/>
      <c r="Q1115" s="236">
        <f>SUM(R1115,U1115)</f>
        <v>0</v>
      </c>
      <c r="R1115" s="236">
        <f>SUM(S1115:T1115)</f>
        <v>0</v>
      </c>
      <c r="S1115" s="236"/>
      <c r="T1115" s="236"/>
      <c r="U1115" s="236">
        <f>SUM(V1115:Y1115)</f>
        <v>0</v>
      </c>
      <c r="V1115" s="236"/>
      <c r="W1115" s="232">
        <f>V1115*0.304</f>
        <v>0</v>
      </c>
      <c r="X1115" s="236"/>
      <c r="Y1115" s="236"/>
      <c r="Z1115" s="236"/>
    </row>
    <row r="1116" spans="1:26" hidden="1" outlineLevel="2">
      <c r="A1116" s="19"/>
      <c r="B1116" s="38"/>
      <c r="C1116" s="207"/>
      <c r="D1116" s="208"/>
      <c r="E1116" s="133"/>
      <c r="F1116" s="261"/>
      <c r="G1116" s="138"/>
      <c r="H1116" s="135"/>
      <c r="I1116" s="206"/>
      <c r="J1116" s="206"/>
      <c r="K1116" s="206"/>
      <c r="L1116" s="137"/>
      <c r="M1116" s="163"/>
      <c r="N1116" s="163"/>
      <c r="O1116" s="288"/>
      <c r="P1116" s="205"/>
      <c r="Q1116" s="236">
        <f t="shared" ref="Q1116:Q1122" si="495">SUM(R1116,U1116)</f>
        <v>0</v>
      </c>
      <c r="R1116" s="236">
        <f t="shared" ref="R1116:R1121" si="496">SUM(S1116:T1116)</f>
        <v>0</v>
      </c>
      <c r="S1116" s="236"/>
      <c r="T1116" s="236"/>
      <c r="U1116" s="236">
        <f t="shared" ref="U1116:U1122" si="497">SUM(V1116:Y1116)</f>
        <v>0</v>
      </c>
      <c r="V1116" s="236"/>
      <c r="W1116" s="232">
        <f t="shared" ref="W1116:W1122" si="498">V1116*0.304</f>
        <v>0</v>
      </c>
      <c r="X1116" s="236"/>
      <c r="Y1116" s="236"/>
      <c r="Z1116" s="236"/>
    </row>
    <row r="1117" spans="1:26" hidden="1" outlineLevel="2">
      <c r="A1117" s="19"/>
      <c r="B1117" s="38"/>
      <c r="C1117" s="207"/>
      <c r="D1117" s="208"/>
      <c r="E1117" s="133"/>
      <c r="F1117" s="261"/>
      <c r="G1117" s="138"/>
      <c r="H1117" s="135"/>
      <c r="I1117" s="206"/>
      <c r="J1117" s="206"/>
      <c r="K1117" s="206"/>
      <c r="L1117" s="137"/>
      <c r="M1117" s="163"/>
      <c r="N1117" s="163"/>
      <c r="O1117" s="288"/>
      <c r="P1117" s="205"/>
      <c r="Q1117" s="236">
        <f t="shared" si="495"/>
        <v>0</v>
      </c>
      <c r="R1117" s="236">
        <f t="shared" si="496"/>
        <v>0</v>
      </c>
      <c r="S1117" s="236"/>
      <c r="T1117" s="236"/>
      <c r="U1117" s="236">
        <f t="shared" si="497"/>
        <v>0</v>
      </c>
      <c r="V1117" s="236"/>
      <c r="W1117" s="232">
        <f t="shared" si="498"/>
        <v>0</v>
      </c>
      <c r="X1117" s="236"/>
      <c r="Y1117" s="236"/>
      <c r="Z1117" s="236"/>
    </row>
    <row r="1118" spans="1:26" hidden="1" outlineLevel="2">
      <c r="A1118" s="19"/>
      <c r="B1118" s="38"/>
      <c r="C1118" s="207"/>
      <c r="D1118" s="208"/>
      <c r="E1118" s="133"/>
      <c r="F1118" s="261"/>
      <c r="G1118" s="138"/>
      <c r="H1118" s="135"/>
      <c r="I1118" s="206"/>
      <c r="J1118" s="206"/>
      <c r="K1118" s="206"/>
      <c r="L1118" s="137"/>
      <c r="M1118" s="163"/>
      <c r="N1118" s="163"/>
      <c r="O1118" s="288"/>
      <c r="P1118" s="205"/>
      <c r="Q1118" s="236">
        <f t="shared" si="495"/>
        <v>0</v>
      </c>
      <c r="R1118" s="236">
        <f t="shared" si="496"/>
        <v>0</v>
      </c>
      <c r="S1118" s="236"/>
      <c r="T1118" s="236"/>
      <c r="U1118" s="236">
        <f t="shared" si="497"/>
        <v>0</v>
      </c>
      <c r="V1118" s="236"/>
      <c r="W1118" s="232">
        <f t="shared" si="498"/>
        <v>0</v>
      </c>
      <c r="X1118" s="236"/>
      <c r="Y1118" s="236"/>
      <c r="Z1118" s="236"/>
    </row>
    <row r="1119" spans="1:26" hidden="1" outlineLevel="2">
      <c r="A1119" s="19"/>
      <c r="B1119" s="38"/>
      <c r="C1119" s="207"/>
      <c r="D1119" s="208"/>
      <c r="E1119" s="133"/>
      <c r="F1119" s="261"/>
      <c r="G1119" s="138"/>
      <c r="H1119" s="135"/>
      <c r="I1119" s="206"/>
      <c r="J1119" s="206"/>
      <c r="K1119" s="206"/>
      <c r="L1119" s="137"/>
      <c r="M1119" s="163"/>
      <c r="N1119" s="163"/>
      <c r="O1119" s="288"/>
      <c r="P1119" s="205"/>
      <c r="Q1119" s="236">
        <f t="shared" si="495"/>
        <v>0</v>
      </c>
      <c r="R1119" s="236">
        <f t="shared" si="496"/>
        <v>0</v>
      </c>
      <c r="S1119" s="236"/>
      <c r="T1119" s="236"/>
      <c r="U1119" s="236">
        <f t="shared" si="497"/>
        <v>0</v>
      </c>
      <c r="V1119" s="236"/>
      <c r="W1119" s="232">
        <f t="shared" si="498"/>
        <v>0</v>
      </c>
      <c r="X1119" s="236"/>
      <c r="Y1119" s="236"/>
      <c r="Z1119" s="236"/>
    </row>
    <row r="1120" spans="1:26" hidden="1" outlineLevel="2">
      <c r="A1120" s="160"/>
      <c r="B1120" s="38"/>
      <c r="C1120" s="207"/>
      <c r="D1120" s="208"/>
      <c r="E1120" s="133"/>
      <c r="F1120" s="261"/>
      <c r="G1120" s="138"/>
      <c r="H1120" s="139"/>
      <c r="I1120" s="206"/>
      <c r="J1120" s="206"/>
      <c r="K1120" s="206"/>
      <c r="L1120" s="137"/>
      <c r="M1120" s="74"/>
      <c r="N1120" s="74"/>
      <c r="O1120" s="19"/>
      <c r="P1120" s="205"/>
      <c r="Q1120" s="236">
        <f t="shared" si="495"/>
        <v>0</v>
      </c>
      <c r="R1120" s="236">
        <f t="shared" si="496"/>
        <v>0</v>
      </c>
      <c r="S1120" s="235"/>
      <c r="T1120" s="235"/>
      <c r="U1120" s="236">
        <f t="shared" si="497"/>
        <v>0</v>
      </c>
      <c r="V1120" s="235"/>
      <c r="W1120" s="232">
        <f t="shared" si="498"/>
        <v>0</v>
      </c>
      <c r="X1120" s="235"/>
      <c r="Y1120" s="235"/>
      <c r="Z1120" s="235"/>
    </row>
    <row r="1121" spans="1:26" hidden="1" outlineLevel="2">
      <c r="A1121" s="160"/>
      <c r="B1121" s="38"/>
      <c r="C1121" s="207"/>
      <c r="D1121" s="208"/>
      <c r="E1121" s="133"/>
      <c r="F1121" s="261"/>
      <c r="G1121" s="138"/>
      <c r="H1121" s="139"/>
      <c r="I1121" s="206"/>
      <c r="J1121" s="206"/>
      <c r="K1121" s="206"/>
      <c r="L1121" s="137"/>
      <c r="M1121" s="74"/>
      <c r="N1121" s="19"/>
      <c r="O1121" s="19"/>
      <c r="P1121" s="205"/>
      <c r="Q1121" s="236">
        <f t="shared" si="495"/>
        <v>0</v>
      </c>
      <c r="R1121" s="236">
        <f t="shared" si="496"/>
        <v>0</v>
      </c>
      <c r="S1121" s="235"/>
      <c r="T1121" s="235"/>
      <c r="U1121" s="236">
        <f t="shared" si="497"/>
        <v>0</v>
      </c>
      <c r="V1121" s="235"/>
      <c r="W1121" s="232">
        <f t="shared" si="498"/>
        <v>0</v>
      </c>
      <c r="X1121" s="235"/>
      <c r="Y1121" s="235"/>
      <c r="Z1121" s="235"/>
    </row>
    <row r="1122" spans="1:26" hidden="1" outlineLevel="2">
      <c r="A1122" s="160"/>
      <c r="B1122" s="38"/>
      <c r="C1122" s="207"/>
      <c r="D1122" s="208"/>
      <c r="E1122" s="133"/>
      <c r="F1122" s="261"/>
      <c r="G1122" s="138"/>
      <c r="H1122" s="139"/>
      <c r="I1122" s="206"/>
      <c r="J1122" s="206"/>
      <c r="K1122" s="206"/>
      <c r="L1122" s="137"/>
      <c r="M1122" s="74"/>
      <c r="N1122" s="19"/>
      <c r="O1122" s="19"/>
      <c r="P1122" s="205"/>
      <c r="Q1122" s="236">
        <f t="shared" si="495"/>
        <v>0</v>
      </c>
      <c r="R1122" s="236">
        <f>SUM(S1122:T1122)</f>
        <v>0</v>
      </c>
      <c r="S1122" s="235"/>
      <c r="T1122" s="235"/>
      <c r="U1122" s="236">
        <f t="shared" si="497"/>
        <v>0</v>
      </c>
      <c r="V1122" s="235"/>
      <c r="W1122" s="232">
        <f t="shared" si="498"/>
        <v>0</v>
      </c>
      <c r="X1122" s="235"/>
      <c r="Y1122" s="235"/>
      <c r="Z1122" s="235"/>
    </row>
    <row r="1123" spans="1:26" hidden="1" outlineLevel="2">
      <c r="A1123" s="164"/>
      <c r="B1123" s="351"/>
      <c r="C1123" s="227"/>
      <c r="D1123" s="228"/>
      <c r="E1123" s="165"/>
      <c r="F1123" s="279"/>
      <c r="G1123" s="166"/>
      <c r="H1123" s="167"/>
      <c r="I1123" s="229"/>
      <c r="J1123" s="229"/>
      <c r="K1123" s="229"/>
      <c r="L1123" s="137"/>
      <c r="M1123" s="351"/>
      <c r="N1123" s="168"/>
      <c r="O1123" s="168"/>
      <c r="P1123" s="231"/>
      <c r="Q1123" s="233"/>
      <c r="R1123" s="233"/>
      <c r="S1123" s="233"/>
      <c r="T1123" s="233"/>
      <c r="U1123" s="233"/>
      <c r="V1123" s="233"/>
      <c r="W1123" s="233"/>
      <c r="X1123" s="233"/>
      <c r="Y1123" s="233"/>
      <c r="Z1123" s="233"/>
    </row>
    <row r="1124" spans="1:26" s="75" customFormat="1" outlineLevel="1" collapsed="1">
      <c r="A1124" s="237"/>
      <c r="B1124" s="238"/>
      <c r="C1124" s="239"/>
      <c r="D1124" s="240"/>
      <c r="E1124" s="241"/>
      <c r="F1124" s="264"/>
      <c r="G1124" s="242"/>
      <c r="H1124" s="243"/>
      <c r="I1124" s="244"/>
      <c r="J1124" s="244"/>
      <c r="K1124" s="244"/>
      <c r="L1124" s="150" t="str">
        <f>CONCATENATE(L1125," ",N1125,M1125," ",L1126," ",N1126,M1126," "," ",L1127," ",N1127,M1127," ",L1128," ",N1128,M1128," ",L1129," ",N1129,M1129," ",L1130," ",N1130,M1130," ",L1131," ",N1131,M1131," ",L1132," ",N1132,M1132)</f>
        <v xml:space="preserve">                </v>
      </c>
      <c r="M1124" s="243"/>
      <c r="N1124" s="243"/>
      <c r="O1124" s="287">
        <f>SUM(O1125:O1132)</f>
        <v>0</v>
      </c>
      <c r="P1124" s="245"/>
      <c r="Q1124" s="246">
        <f>SUM(Q1125:Q1132)</f>
        <v>0</v>
      </c>
      <c r="R1124" s="246">
        <f t="shared" ref="R1124:Y1124" si="499">SUM(R1125:R1132)</f>
        <v>0</v>
      </c>
      <c r="S1124" s="246">
        <f t="shared" si="499"/>
        <v>0</v>
      </c>
      <c r="T1124" s="246">
        <f t="shared" si="499"/>
        <v>0</v>
      </c>
      <c r="U1124" s="246">
        <f t="shared" si="499"/>
        <v>0</v>
      </c>
      <c r="V1124" s="246">
        <f t="shared" si="499"/>
        <v>0</v>
      </c>
      <c r="W1124" s="246">
        <f t="shared" si="499"/>
        <v>0</v>
      </c>
      <c r="X1124" s="246">
        <f t="shared" si="499"/>
        <v>0</v>
      </c>
      <c r="Y1124" s="246">
        <f t="shared" si="499"/>
        <v>0</v>
      </c>
      <c r="Z1124" s="246">
        <f>SUM(Z1125:Z1132)</f>
        <v>0</v>
      </c>
    </row>
    <row r="1125" spans="1:26" hidden="1" outlineLevel="2">
      <c r="A1125" s="19"/>
      <c r="B1125" s="38"/>
      <c r="C1125" s="207"/>
      <c r="D1125" s="208"/>
      <c r="E1125" s="133"/>
      <c r="F1125" s="261"/>
      <c r="G1125" s="138"/>
      <c r="H1125" s="135"/>
      <c r="I1125" s="206"/>
      <c r="J1125" s="206"/>
      <c r="K1125" s="206"/>
      <c r="L1125" s="137"/>
      <c r="M1125" s="163"/>
      <c r="N1125" s="163"/>
      <c r="O1125" s="288"/>
      <c r="P1125" s="205"/>
      <c r="Q1125" s="236">
        <f>SUM(R1125,U1125)</f>
        <v>0</v>
      </c>
      <c r="R1125" s="236">
        <f>SUM(S1125:T1125)</f>
        <v>0</v>
      </c>
      <c r="S1125" s="236"/>
      <c r="T1125" s="236"/>
      <c r="U1125" s="236">
        <f>SUM(V1125:Y1125)</f>
        <v>0</v>
      </c>
      <c r="V1125" s="236"/>
      <c r="W1125" s="232">
        <f>V1125*0.304</f>
        <v>0</v>
      </c>
      <c r="X1125" s="236"/>
      <c r="Y1125" s="236"/>
      <c r="Z1125" s="236"/>
    </row>
    <row r="1126" spans="1:26" hidden="1" outlineLevel="2">
      <c r="A1126" s="19"/>
      <c r="B1126" s="38"/>
      <c r="C1126" s="207"/>
      <c r="D1126" s="208"/>
      <c r="E1126" s="133"/>
      <c r="F1126" s="261"/>
      <c r="G1126" s="138"/>
      <c r="H1126" s="135"/>
      <c r="I1126" s="206"/>
      <c r="J1126" s="206"/>
      <c r="K1126" s="206"/>
      <c r="L1126" s="137"/>
      <c r="M1126" s="163"/>
      <c r="N1126" s="163"/>
      <c r="O1126" s="288"/>
      <c r="P1126" s="205"/>
      <c r="Q1126" s="236">
        <f t="shared" ref="Q1126:Q1132" si="500">SUM(R1126,U1126)</f>
        <v>0</v>
      </c>
      <c r="R1126" s="236">
        <f t="shared" ref="R1126:R1131" si="501">SUM(S1126:T1126)</f>
        <v>0</v>
      </c>
      <c r="S1126" s="236"/>
      <c r="T1126" s="236"/>
      <c r="U1126" s="236">
        <f t="shared" ref="U1126:U1132" si="502">SUM(V1126:Y1126)</f>
        <v>0</v>
      </c>
      <c r="V1126" s="236"/>
      <c r="W1126" s="232">
        <f t="shared" ref="W1126:W1132" si="503">V1126*0.304</f>
        <v>0</v>
      </c>
      <c r="X1126" s="236"/>
      <c r="Y1126" s="236"/>
      <c r="Z1126" s="236"/>
    </row>
    <row r="1127" spans="1:26" hidden="1" outlineLevel="2">
      <c r="A1127" s="19"/>
      <c r="B1127" s="38"/>
      <c r="C1127" s="207"/>
      <c r="D1127" s="208"/>
      <c r="E1127" s="133"/>
      <c r="F1127" s="261"/>
      <c r="G1127" s="138"/>
      <c r="H1127" s="135"/>
      <c r="I1127" s="206"/>
      <c r="J1127" s="206"/>
      <c r="K1127" s="206"/>
      <c r="L1127" s="137"/>
      <c r="M1127" s="163"/>
      <c r="N1127" s="163"/>
      <c r="O1127" s="288"/>
      <c r="P1127" s="205"/>
      <c r="Q1127" s="236">
        <f t="shared" si="500"/>
        <v>0</v>
      </c>
      <c r="R1127" s="236">
        <f t="shared" si="501"/>
        <v>0</v>
      </c>
      <c r="S1127" s="236"/>
      <c r="T1127" s="236"/>
      <c r="U1127" s="236">
        <f t="shared" si="502"/>
        <v>0</v>
      </c>
      <c r="V1127" s="236"/>
      <c r="W1127" s="232">
        <f t="shared" si="503"/>
        <v>0</v>
      </c>
      <c r="X1127" s="236"/>
      <c r="Y1127" s="236"/>
      <c r="Z1127" s="236"/>
    </row>
    <row r="1128" spans="1:26" hidden="1" outlineLevel="2">
      <c r="A1128" s="19"/>
      <c r="B1128" s="38"/>
      <c r="C1128" s="207"/>
      <c r="D1128" s="208"/>
      <c r="E1128" s="133"/>
      <c r="F1128" s="261"/>
      <c r="G1128" s="138"/>
      <c r="H1128" s="135"/>
      <c r="I1128" s="206"/>
      <c r="J1128" s="206"/>
      <c r="K1128" s="206"/>
      <c r="L1128" s="137"/>
      <c r="M1128" s="163"/>
      <c r="N1128" s="163"/>
      <c r="O1128" s="288"/>
      <c r="P1128" s="205"/>
      <c r="Q1128" s="236">
        <f t="shared" si="500"/>
        <v>0</v>
      </c>
      <c r="R1128" s="236">
        <f t="shared" si="501"/>
        <v>0</v>
      </c>
      <c r="S1128" s="236"/>
      <c r="T1128" s="236"/>
      <c r="U1128" s="236">
        <f t="shared" si="502"/>
        <v>0</v>
      </c>
      <c r="V1128" s="236"/>
      <c r="W1128" s="232">
        <f t="shared" si="503"/>
        <v>0</v>
      </c>
      <c r="X1128" s="236"/>
      <c r="Y1128" s="236"/>
      <c r="Z1128" s="236"/>
    </row>
    <row r="1129" spans="1:26" hidden="1" outlineLevel="2">
      <c r="A1129" s="19"/>
      <c r="B1129" s="38"/>
      <c r="C1129" s="207"/>
      <c r="D1129" s="208"/>
      <c r="E1129" s="133"/>
      <c r="F1129" s="261"/>
      <c r="G1129" s="138"/>
      <c r="H1129" s="135"/>
      <c r="I1129" s="206"/>
      <c r="J1129" s="206"/>
      <c r="K1129" s="206"/>
      <c r="L1129" s="137"/>
      <c r="M1129" s="163"/>
      <c r="N1129" s="163"/>
      <c r="O1129" s="288"/>
      <c r="P1129" s="205"/>
      <c r="Q1129" s="236">
        <f t="shared" si="500"/>
        <v>0</v>
      </c>
      <c r="R1129" s="236">
        <f t="shared" si="501"/>
        <v>0</v>
      </c>
      <c r="S1129" s="236"/>
      <c r="T1129" s="236"/>
      <c r="U1129" s="236">
        <f t="shared" si="502"/>
        <v>0</v>
      </c>
      <c r="V1129" s="236"/>
      <c r="W1129" s="232">
        <f t="shared" si="503"/>
        <v>0</v>
      </c>
      <c r="X1129" s="236"/>
      <c r="Y1129" s="236"/>
      <c r="Z1129" s="236"/>
    </row>
    <row r="1130" spans="1:26" hidden="1" outlineLevel="2">
      <c r="A1130" s="160"/>
      <c r="B1130" s="38"/>
      <c r="C1130" s="207"/>
      <c r="D1130" s="208"/>
      <c r="E1130" s="133"/>
      <c r="F1130" s="261"/>
      <c r="G1130" s="138"/>
      <c r="H1130" s="139"/>
      <c r="I1130" s="206"/>
      <c r="J1130" s="206"/>
      <c r="K1130" s="206"/>
      <c r="L1130" s="137"/>
      <c r="M1130" s="74"/>
      <c r="N1130" s="74"/>
      <c r="O1130" s="19"/>
      <c r="P1130" s="205"/>
      <c r="Q1130" s="236">
        <f t="shared" si="500"/>
        <v>0</v>
      </c>
      <c r="R1130" s="236">
        <f t="shared" si="501"/>
        <v>0</v>
      </c>
      <c r="S1130" s="235"/>
      <c r="T1130" s="235"/>
      <c r="U1130" s="236">
        <f t="shared" si="502"/>
        <v>0</v>
      </c>
      <c r="V1130" s="235"/>
      <c r="W1130" s="232">
        <f t="shared" si="503"/>
        <v>0</v>
      </c>
      <c r="X1130" s="235"/>
      <c r="Y1130" s="235"/>
      <c r="Z1130" s="235"/>
    </row>
    <row r="1131" spans="1:26" hidden="1" outlineLevel="2">
      <c r="A1131" s="160"/>
      <c r="B1131" s="38"/>
      <c r="C1131" s="207"/>
      <c r="D1131" s="208"/>
      <c r="E1131" s="133"/>
      <c r="F1131" s="261"/>
      <c r="G1131" s="138"/>
      <c r="H1131" s="139"/>
      <c r="I1131" s="206"/>
      <c r="J1131" s="206"/>
      <c r="K1131" s="206"/>
      <c r="L1131" s="137"/>
      <c r="M1131" s="74"/>
      <c r="N1131" s="19"/>
      <c r="O1131" s="19"/>
      <c r="P1131" s="205"/>
      <c r="Q1131" s="236">
        <f t="shared" si="500"/>
        <v>0</v>
      </c>
      <c r="R1131" s="236">
        <f t="shared" si="501"/>
        <v>0</v>
      </c>
      <c r="S1131" s="235"/>
      <c r="T1131" s="235"/>
      <c r="U1131" s="236">
        <f t="shared" si="502"/>
        <v>0</v>
      </c>
      <c r="V1131" s="235"/>
      <c r="W1131" s="232">
        <f t="shared" si="503"/>
        <v>0</v>
      </c>
      <c r="X1131" s="235"/>
      <c r="Y1131" s="235"/>
      <c r="Z1131" s="235"/>
    </row>
    <row r="1132" spans="1:26" hidden="1" outlineLevel="2">
      <c r="A1132" s="160"/>
      <c r="B1132" s="38"/>
      <c r="C1132" s="207"/>
      <c r="D1132" s="208"/>
      <c r="E1132" s="133"/>
      <c r="F1132" s="261"/>
      <c r="G1132" s="138"/>
      <c r="H1132" s="139"/>
      <c r="I1132" s="206"/>
      <c r="J1132" s="206"/>
      <c r="K1132" s="206"/>
      <c r="L1132" s="137"/>
      <c r="M1132" s="74"/>
      <c r="N1132" s="19"/>
      <c r="O1132" s="19"/>
      <c r="P1132" s="205"/>
      <c r="Q1132" s="236">
        <f t="shared" si="500"/>
        <v>0</v>
      </c>
      <c r="R1132" s="236">
        <f>SUM(S1132:T1132)</f>
        <v>0</v>
      </c>
      <c r="S1132" s="235"/>
      <c r="T1132" s="235"/>
      <c r="U1132" s="236">
        <f t="shared" si="502"/>
        <v>0</v>
      </c>
      <c r="V1132" s="235"/>
      <c r="W1132" s="232">
        <f t="shared" si="503"/>
        <v>0</v>
      </c>
      <c r="X1132" s="235"/>
      <c r="Y1132" s="235"/>
      <c r="Z1132" s="235"/>
    </row>
    <row r="1133" spans="1:26" hidden="1" outlineLevel="2">
      <c r="A1133" s="164"/>
      <c r="B1133" s="351"/>
      <c r="C1133" s="227"/>
      <c r="D1133" s="228"/>
      <c r="E1133" s="165"/>
      <c r="F1133" s="279"/>
      <c r="G1133" s="166"/>
      <c r="H1133" s="167"/>
      <c r="I1133" s="229"/>
      <c r="J1133" s="229"/>
      <c r="K1133" s="229"/>
      <c r="L1133" s="137"/>
      <c r="M1133" s="351"/>
      <c r="N1133" s="168"/>
      <c r="O1133" s="168"/>
      <c r="P1133" s="231"/>
      <c r="Q1133" s="233"/>
      <c r="R1133" s="233"/>
      <c r="S1133" s="233"/>
      <c r="T1133" s="233"/>
      <c r="U1133" s="233"/>
      <c r="V1133" s="233"/>
      <c r="W1133" s="233"/>
      <c r="X1133" s="233"/>
      <c r="Y1133" s="233"/>
      <c r="Z1133" s="233"/>
    </row>
    <row r="1134" spans="1:26" s="75" customFormat="1" outlineLevel="1" collapsed="1">
      <c r="A1134" s="237"/>
      <c r="B1134" s="238"/>
      <c r="C1134" s="239"/>
      <c r="D1134" s="240"/>
      <c r="E1134" s="241"/>
      <c r="F1134" s="264"/>
      <c r="G1134" s="242"/>
      <c r="H1134" s="243"/>
      <c r="I1134" s="244"/>
      <c r="J1134" s="244"/>
      <c r="K1134" s="244"/>
      <c r="L1134" s="150" t="str">
        <f>CONCATENATE(L1135," ",N1135,M1135," ",L1136," ",N1136,M1136," "," ",L1137," ",N1137,M1137," ",L1138," ",N1138,M1138," ",L1139," ",N1139,M1139," ",L1140," ",N1140,M1140," ",L1141," ",N1141,M1141," ",L1142," ",N1142,M1142)</f>
        <v xml:space="preserve">                </v>
      </c>
      <c r="M1134" s="243"/>
      <c r="N1134" s="243"/>
      <c r="O1134" s="287">
        <f>SUM(O1135:O1142)</f>
        <v>0</v>
      </c>
      <c r="P1134" s="245"/>
      <c r="Q1134" s="246">
        <f>SUM(Q1135:Q1142)</f>
        <v>0</v>
      </c>
      <c r="R1134" s="246">
        <f t="shared" ref="R1134:Y1134" si="504">SUM(R1135:R1142)</f>
        <v>0</v>
      </c>
      <c r="S1134" s="246">
        <f t="shared" si="504"/>
        <v>0</v>
      </c>
      <c r="T1134" s="246">
        <f t="shared" si="504"/>
        <v>0</v>
      </c>
      <c r="U1134" s="246">
        <f t="shared" si="504"/>
        <v>0</v>
      </c>
      <c r="V1134" s="246">
        <f t="shared" si="504"/>
        <v>0</v>
      </c>
      <c r="W1134" s="246">
        <f t="shared" si="504"/>
        <v>0</v>
      </c>
      <c r="X1134" s="246">
        <f t="shared" si="504"/>
        <v>0</v>
      </c>
      <c r="Y1134" s="246">
        <f t="shared" si="504"/>
        <v>0</v>
      </c>
      <c r="Z1134" s="246">
        <f>SUM(Z1135:Z1142)</f>
        <v>0</v>
      </c>
    </row>
    <row r="1135" spans="1:26" hidden="1" outlineLevel="2">
      <c r="A1135" s="19"/>
      <c r="B1135" s="38"/>
      <c r="C1135" s="207"/>
      <c r="D1135" s="208"/>
      <c r="E1135" s="133"/>
      <c r="F1135" s="261"/>
      <c r="G1135" s="138"/>
      <c r="H1135" s="135"/>
      <c r="I1135" s="206"/>
      <c r="J1135" s="206"/>
      <c r="K1135" s="206"/>
      <c r="L1135" s="137"/>
      <c r="M1135" s="163"/>
      <c r="N1135" s="163"/>
      <c r="O1135" s="288"/>
      <c r="P1135" s="205"/>
      <c r="Q1135" s="236">
        <f>SUM(R1135,U1135)</f>
        <v>0</v>
      </c>
      <c r="R1135" s="236">
        <f>SUM(S1135:T1135)</f>
        <v>0</v>
      </c>
      <c r="S1135" s="236"/>
      <c r="T1135" s="236"/>
      <c r="U1135" s="236">
        <f>SUM(V1135:Y1135)</f>
        <v>0</v>
      </c>
      <c r="V1135" s="236"/>
      <c r="W1135" s="232">
        <f>V1135*0.304</f>
        <v>0</v>
      </c>
      <c r="X1135" s="236"/>
      <c r="Y1135" s="236"/>
      <c r="Z1135" s="236"/>
    </row>
    <row r="1136" spans="1:26" hidden="1" outlineLevel="2">
      <c r="A1136" s="19"/>
      <c r="B1136" s="38"/>
      <c r="C1136" s="207"/>
      <c r="D1136" s="208"/>
      <c r="E1136" s="133"/>
      <c r="F1136" s="261"/>
      <c r="G1136" s="138"/>
      <c r="H1136" s="135"/>
      <c r="I1136" s="206"/>
      <c r="J1136" s="206"/>
      <c r="K1136" s="206"/>
      <c r="L1136" s="137"/>
      <c r="M1136" s="163"/>
      <c r="N1136" s="163"/>
      <c r="O1136" s="288"/>
      <c r="P1136" s="205"/>
      <c r="Q1136" s="236">
        <f t="shared" ref="Q1136:Q1142" si="505">SUM(R1136,U1136)</f>
        <v>0</v>
      </c>
      <c r="R1136" s="236">
        <f t="shared" ref="R1136:R1141" si="506">SUM(S1136:T1136)</f>
        <v>0</v>
      </c>
      <c r="S1136" s="236"/>
      <c r="T1136" s="236"/>
      <c r="U1136" s="236">
        <f t="shared" ref="U1136:U1142" si="507">SUM(V1136:Y1136)</f>
        <v>0</v>
      </c>
      <c r="V1136" s="236"/>
      <c r="W1136" s="232">
        <f t="shared" ref="W1136:W1142" si="508">V1136*0.304</f>
        <v>0</v>
      </c>
      <c r="X1136" s="236"/>
      <c r="Y1136" s="236"/>
      <c r="Z1136" s="236"/>
    </row>
    <row r="1137" spans="1:26" hidden="1" outlineLevel="2">
      <c r="A1137" s="19"/>
      <c r="B1137" s="38"/>
      <c r="C1137" s="207"/>
      <c r="D1137" s="208"/>
      <c r="E1137" s="133"/>
      <c r="F1137" s="261"/>
      <c r="G1137" s="138"/>
      <c r="H1137" s="135"/>
      <c r="I1137" s="206"/>
      <c r="J1137" s="206"/>
      <c r="K1137" s="206"/>
      <c r="L1137" s="137"/>
      <c r="M1137" s="163"/>
      <c r="N1137" s="163"/>
      <c r="O1137" s="288"/>
      <c r="P1137" s="205"/>
      <c r="Q1137" s="236">
        <f t="shared" si="505"/>
        <v>0</v>
      </c>
      <c r="R1137" s="236">
        <f t="shared" si="506"/>
        <v>0</v>
      </c>
      <c r="S1137" s="236"/>
      <c r="T1137" s="236"/>
      <c r="U1137" s="236">
        <f t="shared" si="507"/>
        <v>0</v>
      </c>
      <c r="V1137" s="236"/>
      <c r="W1137" s="232">
        <f t="shared" si="508"/>
        <v>0</v>
      </c>
      <c r="X1137" s="236"/>
      <c r="Y1137" s="236"/>
      <c r="Z1137" s="236"/>
    </row>
    <row r="1138" spans="1:26" hidden="1" outlineLevel="2">
      <c r="A1138" s="19"/>
      <c r="B1138" s="38"/>
      <c r="C1138" s="207"/>
      <c r="D1138" s="208"/>
      <c r="E1138" s="133"/>
      <c r="F1138" s="261"/>
      <c r="G1138" s="138"/>
      <c r="H1138" s="135"/>
      <c r="I1138" s="206"/>
      <c r="J1138" s="206"/>
      <c r="K1138" s="206"/>
      <c r="L1138" s="137"/>
      <c r="M1138" s="163"/>
      <c r="N1138" s="163"/>
      <c r="O1138" s="288"/>
      <c r="P1138" s="205"/>
      <c r="Q1138" s="236">
        <f t="shared" si="505"/>
        <v>0</v>
      </c>
      <c r="R1138" s="236">
        <f t="shared" si="506"/>
        <v>0</v>
      </c>
      <c r="S1138" s="236"/>
      <c r="T1138" s="236"/>
      <c r="U1138" s="236">
        <f t="shared" si="507"/>
        <v>0</v>
      </c>
      <c r="V1138" s="236"/>
      <c r="W1138" s="232">
        <f t="shared" si="508"/>
        <v>0</v>
      </c>
      <c r="X1138" s="236"/>
      <c r="Y1138" s="236"/>
      <c r="Z1138" s="236"/>
    </row>
    <row r="1139" spans="1:26" hidden="1" outlineLevel="2">
      <c r="A1139" s="19"/>
      <c r="B1139" s="38"/>
      <c r="C1139" s="207"/>
      <c r="D1139" s="208"/>
      <c r="E1139" s="133"/>
      <c r="F1139" s="261"/>
      <c r="G1139" s="138"/>
      <c r="H1139" s="135"/>
      <c r="I1139" s="206"/>
      <c r="J1139" s="206"/>
      <c r="K1139" s="206"/>
      <c r="L1139" s="137"/>
      <c r="M1139" s="163"/>
      <c r="N1139" s="163"/>
      <c r="O1139" s="288"/>
      <c r="P1139" s="205"/>
      <c r="Q1139" s="236">
        <f t="shared" si="505"/>
        <v>0</v>
      </c>
      <c r="R1139" s="236">
        <f t="shared" si="506"/>
        <v>0</v>
      </c>
      <c r="S1139" s="236"/>
      <c r="T1139" s="236"/>
      <c r="U1139" s="236">
        <f t="shared" si="507"/>
        <v>0</v>
      </c>
      <c r="V1139" s="236"/>
      <c r="W1139" s="232">
        <f t="shared" si="508"/>
        <v>0</v>
      </c>
      <c r="X1139" s="236"/>
      <c r="Y1139" s="236"/>
      <c r="Z1139" s="236"/>
    </row>
    <row r="1140" spans="1:26" hidden="1" outlineLevel="2">
      <c r="A1140" s="160"/>
      <c r="B1140" s="38"/>
      <c r="C1140" s="207"/>
      <c r="D1140" s="208"/>
      <c r="E1140" s="133"/>
      <c r="F1140" s="261"/>
      <c r="G1140" s="138"/>
      <c r="H1140" s="139"/>
      <c r="I1140" s="206"/>
      <c r="J1140" s="206"/>
      <c r="K1140" s="206"/>
      <c r="L1140" s="137"/>
      <c r="M1140" s="74"/>
      <c r="N1140" s="74"/>
      <c r="O1140" s="19"/>
      <c r="P1140" s="205"/>
      <c r="Q1140" s="236">
        <f t="shared" si="505"/>
        <v>0</v>
      </c>
      <c r="R1140" s="236">
        <f t="shared" si="506"/>
        <v>0</v>
      </c>
      <c r="S1140" s="235"/>
      <c r="T1140" s="235"/>
      <c r="U1140" s="236">
        <f t="shared" si="507"/>
        <v>0</v>
      </c>
      <c r="V1140" s="235"/>
      <c r="W1140" s="232">
        <f t="shared" si="508"/>
        <v>0</v>
      </c>
      <c r="X1140" s="235"/>
      <c r="Y1140" s="235"/>
      <c r="Z1140" s="235"/>
    </row>
    <row r="1141" spans="1:26" hidden="1" outlineLevel="2">
      <c r="A1141" s="160"/>
      <c r="B1141" s="38"/>
      <c r="C1141" s="207"/>
      <c r="D1141" s="208"/>
      <c r="E1141" s="133"/>
      <c r="F1141" s="261"/>
      <c r="G1141" s="138"/>
      <c r="H1141" s="139"/>
      <c r="I1141" s="206"/>
      <c r="J1141" s="206"/>
      <c r="K1141" s="206"/>
      <c r="L1141" s="137"/>
      <c r="M1141" s="74"/>
      <c r="N1141" s="19"/>
      <c r="O1141" s="19"/>
      <c r="P1141" s="205"/>
      <c r="Q1141" s="236">
        <f t="shared" si="505"/>
        <v>0</v>
      </c>
      <c r="R1141" s="236">
        <f t="shared" si="506"/>
        <v>0</v>
      </c>
      <c r="S1141" s="235"/>
      <c r="T1141" s="235"/>
      <c r="U1141" s="236">
        <f t="shared" si="507"/>
        <v>0</v>
      </c>
      <c r="V1141" s="235"/>
      <c r="W1141" s="232">
        <f t="shared" si="508"/>
        <v>0</v>
      </c>
      <c r="X1141" s="235"/>
      <c r="Y1141" s="235"/>
      <c r="Z1141" s="235"/>
    </row>
    <row r="1142" spans="1:26" hidden="1" outlineLevel="2">
      <c r="A1142" s="160"/>
      <c r="B1142" s="38"/>
      <c r="C1142" s="207"/>
      <c r="D1142" s="208"/>
      <c r="E1142" s="133"/>
      <c r="F1142" s="261"/>
      <c r="G1142" s="138"/>
      <c r="H1142" s="139"/>
      <c r="I1142" s="206"/>
      <c r="J1142" s="206"/>
      <c r="K1142" s="206"/>
      <c r="L1142" s="137"/>
      <c r="M1142" s="74"/>
      <c r="N1142" s="19"/>
      <c r="O1142" s="19"/>
      <c r="P1142" s="205"/>
      <c r="Q1142" s="236">
        <f t="shared" si="505"/>
        <v>0</v>
      </c>
      <c r="R1142" s="236">
        <f>SUM(S1142:T1142)</f>
        <v>0</v>
      </c>
      <c r="S1142" s="235"/>
      <c r="T1142" s="235"/>
      <c r="U1142" s="236">
        <f t="shared" si="507"/>
        <v>0</v>
      </c>
      <c r="V1142" s="235"/>
      <c r="W1142" s="232">
        <f t="shared" si="508"/>
        <v>0</v>
      </c>
      <c r="X1142" s="235"/>
      <c r="Y1142" s="235"/>
      <c r="Z1142" s="235"/>
    </row>
    <row r="1143" spans="1:26" hidden="1" outlineLevel="2">
      <c r="A1143" s="164"/>
      <c r="B1143" s="351"/>
      <c r="C1143" s="227"/>
      <c r="D1143" s="228"/>
      <c r="E1143" s="165"/>
      <c r="F1143" s="279"/>
      <c r="G1143" s="166"/>
      <c r="H1143" s="167"/>
      <c r="I1143" s="229"/>
      <c r="J1143" s="229"/>
      <c r="K1143" s="229"/>
      <c r="L1143" s="137"/>
      <c r="M1143" s="351"/>
      <c r="N1143" s="168"/>
      <c r="O1143" s="168"/>
      <c r="P1143" s="231"/>
      <c r="Q1143" s="233"/>
      <c r="R1143" s="233"/>
      <c r="S1143" s="233"/>
      <c r="T1143" s="233"/>
      <c r="U1143" s="233"/>
      <c r="V1143" s="233"/>
      <c r="W1143" s="233"/>
      <c r="X1143" s="233"/>
      <c r="Y1143" s="233"/>
      <c r="Z1143" s="233"/>
    </row>
    <row r="1144" spans="1:26" s="75" customFormat="1" outlineLevel="1" collapsed="1">
      <c r="A1144" s="237"/>
      <c r="B1144" s="238"/>
      <c r="C1144" s="239"/>
      <c r="D1144" s="240"/>
      <c r="E1144" s="241"/>
      <c r="F1144" s="264"/>
      <c r="G1144" s="242"/>
      <c r="H1144" s="243"/>
      <c r="I1144" s="244"/>
      <c r="J1144" s="244"/>
      <c r="K1144" s="244"/>
      <c r="L1144" s="150" t="str">
        <f>CONCATENATE(L1145," ",N1145,M1145," ",L1146," ",N1146,M1146," "," ",L1147," ",N1147,M1147," ",L1148," ",N1148,M1148," ",L1149," ",N1149,M1149," ",L1150," ",N1150,M1150," ",L1151," ",N1151,M1151," ",L1152," ",N1152,M1152)</f>
        <v xml:space="preserve">                </v>
      </c>
      <c r="M1144" s="243"/>
      <c r="N1144" s="243"/>
      <c r="O1144" s="287">
        <f>SUM(O1145:O1152)</f>
        <v>0</v>
      </c>
      <c r="P1144" s="245"/>
      <c r="Q1144" s="246">
        <f>SUM(Q1145:Q1152)</f>
        <v>0</v>
      </c>
      <c r="R1144" s="246">
        <f t="shared" ref="R1144:Y1144" si="509">SUM(R1145:R1152)</f>
        <v>0</v>
      </c>
      <c r="S1144" s="246">
        <f t="shared" si="509"/>
        <v>0</v>
      </c>
      <c r="T1144" s="246">
        <f t="shared" si="509"/>
        <v>0</v>
      </c>
      <c r="U1144" s="246">
        <f t="shared" si="509"/>
        <v>0</v>
      </c>
      <c r="V1144" s="246">
        <f t="shared" si="509"/>
        <v>0</v>
      </c>
      <c r="W1144" s="246">
        <f t="shared" si="509"/>
        <v>0</v>
      </c>
      <c r="X1144" s="246">
        <f t="shared" si="509"/>
        <v>0</v>
      </c>
      <c r="Y1144" s="246">
        <f t="shared" si="509"/>
        <v>0</v>
      </c>
      <c r="Z1144" s="246">
        <f>SUM(Z1145:Z1152)</f>
        <v>0</v>
      </c>
    </row>
    <row r="1145" spans="1:26" hidden="1" outlineLevel="2">
      <c r="A1145" s="19"/>
      <c r="B1145" s="38"/>
      <c r="C1145" s="207"/>
      <c r="D1145" s="208"/>
      <c r="E1145" s="133"/>
      <c r="F1145" s="261"/>
      <c r="G1145" s="138"/>
      <c r="H1145" s="135"/>
      <c r="I1145" s="206"/>
      <c r="J1145" s="206"/>
      <c r="K1145" s="206"/>
      <c r="L1145" s="137"/>
      <c r="M1145" s="163"/>
      <c r="N1145" s="163"/>
      <c r="O1145" s="288"/>
      <c r="P1145" s="205"/>
      <c r="Q1145" s="236">
        <f>SUM(R1145,U1145)</f>
        <v>0</v>
      </c>
      <c r="R1145" s="236">
        <f>SUM(S1145:T1145)</f>
        <v>0</v>
      </c>
      <c r="S1145" s="236"/>
      <c r="T1145" s="236"/>
      <c r="U1145" s="236">
        <f>SUM(V1145:Y1145)</f>
        <v>0</v>
      </c>
      <c r="V1145" s="236"/>
      <c r="W1145" s="232">
        <f>V1145*0.304</f>
        <v>0</v>
      </c>
      <c r="X1145" s="236"/>
      <c r="Y1145" s="236"/>
      <c r="Z1145" s="236"/>
    </row>
    <row r="1146" spans="1:26" hidden="1" outlineLevel="2">
      <c r="A1146" s="19"/>
      <c r="B1146" s="38"/>
      <c r="C1146" s="207"/>
      <c r="D1146" s="208"/>
      <c r="E1146" s="133"/>
      <c r="F1146" s="261"/>
      <c r="G1146" s="138"/>
      <c r="H1146" s="135"/>
      <c r="I1146" s="206"/>
      <c r="J1146" s="206"/>
      <c r="K1146" s="206"/>
      <c r="L1146" s="137"/>
      <c r="M1146" s="163"/>
      <c r="N1146" s="163"/>
      <c r="O1146" s="288"/>
      <c r="P1146" s="205"/>
      <c r="Q1146" s="236">
        <f t="shared" ref="Q1146:Q1152" si="510">SUM(R1146,U1146)</f>
        <v>0</v>
      </c>
      <c r="R1146" s="236">
        <f t="shared" ref="R1146:R1151" si="511">SUM(S1146:T1146)</f>
        <v>0</v>
      </c>
      <c r="S1146" s="236"/>
      <c r="T1146" s="236"/>
      <c r="U1146" s="236">
        <f t="shared" ref="U1146:U1152" si="512">SUM(V1146:Y1146)</f>
        <v>0</v>
      </c>
      <c r="V1146" s="236"/>
      <c r="W1146" s="232">
        <f t="shared" ref="W1146:W1152" si="513">V1146*0.304</f>
        <v>0</v>
      </c>
      <c r="X1146" s="236"/>
      <c r="Y1146" s="236"/>
      <c r="Z1146" s="236"/>
    </row>
    <row r="1147" spans="1:26" hidden="1" outlineLevel="2">
      <c r="A1147" s="19"/>
      <c r="B1147" s="38"/>
      <c r="C1147" s="207"/>
      <c r="D1147" s="208"/>
      <c r="E1147" s="133"/>
      <c r="F1147" s="261"/>
      <c r="G1147" s="138"/>
      <c r="H1147" s="135"/>
      <c r="I1147" s="206"/>
      <c r="J1147" s="206"/>
      <c r="K1147" s="206"/>
      <c r="L1147" s="137"/>
      <c r="M1147" s="163"/>
      <c r="N1147" s="163"/>
      <c r="O1147" s="288"/>
      <c r="P1147" s="205"/>
      <c r="Q1147" s="236">
        <f t="shared" si="510"/>
        <v>0</v>
      </c>
      <c r="R1147" s="236">
        <f t="shared" si="511"/>
        <v>0</v>
      </c>
      <c r="S1147" s="236"/>
      <c r="T1147" s="236"/>
      <c r="U1147" s="236">
        <f t="shared" si="512"/>
        <v>0</v>
      </c>
      <c r="V1147" s="236"/>
      <c r="W1147" s="232">
        <f t="shared" si="513"/>
        <v>0</v>
      </c>
      <c r="X1147" s="236"/>
      <c r="Y1147" s="236"/>
      <c r="Z1147" s="236"/>
    </row>
    <row r="1148" spans="1:26" hidden="1" outlineLevel="2">
      <c r="A1148" s="19"/>
      <c r="B1148" s="38"/>
      <c r="C1148" s="207"/>
      <c r="D1148" s="208"/>
      <c r="E1148" s="133"/>
      <c r="F1148" s="261"/>
      <c r="G1148" s="138"/>
      <c r="H1148" s="135"/>
      <c r="I1148" s="206"/>
      <c r="J1148" s="206"/>
      <c r="K1148" s="206"/>
      <c r="L1148" s="137"/>
      <c r="M1148" s="163"/>
      <c r="N1148" s="163"/>
      <c r="O1148" s="288"/>
      <c r="P1148" s="205"/>
      <c r="Q1148" s="236">
        <f t="shared" si="510"/>
        <v>0</v>
      </c>
      <c r="R1148" s="236">
        <f t="shared" si="511"/>
        <v>0</v>
      </c>
      <c r="S1148" s="236"/>
      <c r="T1148" s="236"/>
      <c r="U1148" s="236">
        <f t="shared" si="512"/>
        <v>0</v>
      </c>
      <c r="V1148" s="236"/>
      <c r="W1148" s="232">
        <f t="shared" si="513"/>
        <v>0</v>
      </c>
      <c r="X1148" s="236"/>
      <c r="Y1148" s="236"/>
      <c r="Z1148" s="236"/>
    </row>
    <row r="1149" spans="1:26" hidden="1" outlineLevel="2">
      <c r="A1149" s="19"/>
      <c r="B1149" s="38"/>
      <c r="C1149" s="207"/>
      <c r="D1149" s="208"/>
      <c r="E1149" s="133"/>
      <c r="F1149" s="261"/>
      <c r="G1149" s="138"/>
      <c r="H1149" s="135"/>
      <c r="I1149" s="206"/>
      <c r="J1149" s="206"/>
      <c r="K1149" s="206"/>
      <c r="L1149" s="137"/>
      <c r="M1149" s="163"/>
      <c r="N1149" s="163"/>
      <c r="O1149" s="288"/>
      <c r="P1149" s="205"/>
      <c r="Q1149" s="236">
        <f t="shared" si="510"/>
        <v>0</v>
      </c>
      <c r="R1149" s="236">
        <f t="shared" si="511"/>
        <v>0</v>
      </c>
      <c r="S1149" s="236"/>
      <c r="T1149" s="236"/>
      <c r="U1149" s="236">
        <f t="shared" si="512"/>
        <v>0</v>
      </c>
      <c r="V1149" s="236"/>
      <c r="W1149" s="232">
        <f t="shared" si="513"/>
        <v>0</v>
      </c>
      <c r="X1149" s="236"/>
      <c r="Y1149" s="236"/>
      <c r="Z1149" s="236"/>
    </row>
    <row r="1150" spans="1:26" hidden="1" outlineLevel="2">
      <c r="A1150" s="160"/>
      <c r="B1150" s="38"/>
      <c r="C1150" s="207"/>
      <c r="D1150" s="208"/>
      <c r="E1150" s="133"/>
      <c r="F1150" s="261"/>
      <c r="G1150" s="138"/>
      <c r="H1150" s="139"/>
      <c r="I1150" s="206"/>
      <c r="J1150" s="206"/>
      <c r="K1150" s="206"/>
      <c r="L1150" s="137"/>
      <c r="M1150" s="74"/>
      <c r="N1150" s="74"/>
      <c r="O1150" s="19"/>
      <c r="P1150" s="205"/>
      <c r="Q1150" s="236">
        <f t="shared" si="510"/>
        <v>0</v>
      </c>
      <c r="R1150" s="236">
        <f t="shared" si="511"/>
        <v>0</v>
      </c>
      <c r="S1150" s="235"/>
      <c r="T1150" s="235"/>
      <c r="U1150" s="236">
        <f t="shared" si="512"/>
        <v>0</v>
      </c>
      <c r="V1150" s="235"/>
      <c r="W1150" s="232">
        <f t="shared" si="513"/>
        <v>0</v>
      </c>
      <c r="X1150" s="235"/>
      <c r="Y1150" s="235"/>
      <c r="Z1150" s="235"/>
    </row>
    <row r="1151" spans="1:26" hidden="1" outlineLevel="2">
      <c r="A1151" s="160"/>
      <c r="B1151" s="38"/>
      <c r="C1151" s="207"/>
      <c r="D1151" s="208"/>
      <c r="E1151" s="133"/>
      <c r="F1151" s="261"/>
      <c r="G1151" s="138"/>
      <c r="H1151" s="139"/>
      <c r="I1151" s="206"/>
      <c r="J1151" s="206"/>
      <c r="K1151" s="206"/>
      <c r="L1151" s="137"/>
      <c r="M1151" s="74"/>
      <c r="N1151" s="19"/>
      <c r="O1151" s="19"/>
      <c r="P1151" s="205"/>
      <c r="Q1151" s="236">
        <f t="shared" si="510"/>
        <v>0</v>
      </c>
      <c r="R1151" s="236">
        <f t="shared" si="511"/>
        <v>0</v>
      </c>
      <c r="S1151" s="235"/>
      <c r="T1151" s="235"/>
      <c r="U1151" s="236">
        <f t="shared" si="512"/>
        <v>0</v>
      </c>
      <c r="V1151" s="235"/>
      <c r="W1151" s="232">
        <f t="shared" si="513"/>
        <v>0</v>
      </c>
      <c r="X1151" s="235"/>
      <c r="Y1151" s="235"/>
      <c r="Z1151" s="235"/>
    </row>
    <row r="1152" spans="1:26" hidden="1" outlineLevel="2">
      <c r="A1152" s="160"/>
      <c r="B1152" s="38"/>
      <c r="C1152" s="207"/>
      <c r="D1152" s="208"/>
      <c r="E1152" s="133"/>
      <c r="F1152" s="261"/>
      <c r="G1152" s="138"/>
      <c r="H1152" s="139"/>
      <c r="I1152" s="206"/>
      <c r="J1152" s="206"/>
      <c r="K1152" s="206"/>
      <c r="L1152" s="137"/>
      <c r="M1152" s="74"/>
      <c r="N1152" s="19"/>
      <c r="O1152" s="19"/>
      <c r="P1152" s="205"/>
      <c r="Q1152" s="236">
        <f t="shared" si="510"/>
        <v>0</v>
      </c>
      <c r="R1152" s="236">
        <f>SUM(S1152:T1152)</f>
        <v>0</v>
      </c>
      <c r="S1152" s="235"/>
      <c r="T1152" s="235"/>
      <c r="U1152" s="236">
        <f t="shared" si="512"/>
        <v>0</v>
      </c>
      <c r="V1152" s="235"/>
      <c r="W1152" s="232">
        <f t="shared" si="513"/>
        <v>0</v>
      </c>
      <c r="X1152" s="235"/>
      <c r="Y1152" s="235"/>
      <c r="Z1152" s="235"/>
    </row>
    <row r="1153" spans="1:26" hidden="1" outlineLevel="2">
      <c r="A1153" s="164"/>
      <c r="B1153" s="351"/>
      <c r="C1153" s="227"/>
      <c r="D1153" s="228"/>
      <c r="E1153" s="165"/>
      <c r="F1153" s="279"/>
      <c r="G1153" s="166"/>
      <c r="H1153" s="167"/>
      <c r="I1153" s="229"/>
      <c r="J1153" s="229"/>
      <c r="K1153" s="229"/>
      <c r="L1153" s="137"/>
      <c r="M1153" s="351"/>
      <c r="N1153" s="168"/>
      <c r="O1153" s="168"/>
      <c r="P1153" s="231"/>
      <c r="Q1153" s="233"/>
      <c r="R1153" s="233"/>
      <c r="S1153" s="233"/>
      <c r="T1153" s="233"/>
      <c r="U1153" s="233"/>
      <c r="V1153" s="233"/>
      <c r="W1153" s="233"/>
      <c r="X1153" s="233"/>
      <c r="Y1153" s="233"/>
      <c r="Z1153" s="233"/>
    </row>
    <row r="1154" spans="1:26" s="75" customFormat="1" outlineLevel="1" collapsed="1">
      <c r="A1154" s="237"/>
      <c r="B1154" s="238"/>
      <c r="C1154" s="239"/>
      <c r="D1154" s="240"/>
      <c r="E1154" s="241"/>
      <c r="F1154" s="264"/>
      <c r="G1154" s="242"/>
      <c r="H1154" s="243"/>
      <c r="I1154" s="244"/>
      <c r="J1154" s="244"/>
      <c r="K1154" s="244"/>
      <c r="L1154" s="150" t="str">
        <f>CONCATENATE(L1155," ",N1155,M1155," ",L1156," ",N1156,M1156," "," ",L1157," ",N1157,M1157," ",L1158," ",N1158,M1158," ",L1159," ",N1159,M1159," ",L1160," ",N1160,M1160," ",L1161," ",N1161,M1161," ",L1162," ",N1162,M1162)</f>
        <v xml:space="preserve">                </v>
      </c>
      <c r="M1154" s="243"/>
      <c r="N1154" s="243"/>
      <c r="O1154" s="287">
        <f>SUM(O1155:O1162)</f>
        <v>0</v>
      </c>
      <c r="P1154" s="245"/>
      <c r="Q1154" s="246">
        <f>SUM(Q1155:Q1162)</f>
        <v>0</v>
      </c>
      <c r="R1154" s="246">
        <f t="shared" ref="R1154:Y1154" si="514">SUM(R1155:R1162)</f>
        <v>0</v>
      </c>
      <c r="S1154" s="246">
        <f t="shared" si="514"/>
        <v>0</v>
      </c>
      <c r="T1154" s="246">
        <f t="shared" si="514"/>
        <v>0</v>
      </c>
      <c r="U1154" s="246">
        <f t="shared" si="514"/>
        <v>0</v>
      </c>
      <c r="V1154" s="246">
        <f t="shared" si="514"/>
        <v>0</v>
      </c>
      <c r="W1154" s="246">
        <f t="shared" si="514"/>
        <v>0</v>
      </c>
      <c r="X1154" s="246">
        <f t="shared" si="514"/>
        <v>0</v>
      </c>
      <c r="Y1154" s="246">
        <f t="shared" si="514"/>
        <v>0</v>
      </c>
      <c r="Z1154" s="246">
        <f>SUM(Z1155:Z1162)</f>
        <v>0</v>
      </c>
    </row>
    <row r="1155" spans="1:26" hidden="1" outlineLevel="2">
      <c r="A1155" s="19"/>
      <c r="B1155" s="38"/>
      <c r="C1155" s="207"/>
      <c r="D1155" s="208"/>
      <c r="E1155" s="133"/>
      <c r="F1155" s="261"/>
      <c r="G1155" s="138"/>
      <c r="H1155" s="135"/>
      <c r="I1155" s="206"/>
      <c r="J1155" s="206"/>
      <c r="K1155" s="206"/>
      <c r="L1155" s="137"/>
      <c r="M1155" s="163"/>
      <c r="N1155" s="163"/>
      <c r="O1155" s="288"/>
      <c r="P1155" s="205"/>
      <c r="Q1155" s="236">
        <f>SUM(R1155,U1155)</f>
        <v>0</v>
      </c>
      <c r="R1155" s="236">
        <f>SUM(S1155:T1155)</f>
        <v>0</v>
      </c>
      <c r="S1155" s="236"/>
      <c r="T1155" s="236"/>
      <c r="U1155" s="236">
        <f>SUM(V1155:Y1155)</f>
        <v>0</v>
      </c>
      <c r="V1155" s="236"/>
      <c r="W1155" s="232">
        <f>V1155*0.304</f>
        <v>0</v>
      </c>
      <c r="X1155" s="236"/>
      <c r="Y1155" s="236"/>
      <c r="Z1155" s="236"/>
    </row>
    <row r="1156" spans="1:26" hidden="1" outlineLevel="2">
      <c r="A1156" s="19"/>
      <c r="B1156" s="38"/>
      <c r="C1156" s="207"/>
      <c r="D1156" s="208"/>
      <c r="E1156" s="133"/>
      <c r="F1156" s="261"/>
      <c r="G1156" s="138"/>
      <c r="H1156" s="135"/>
      <c r="I1156" s="206"/>
      <c r="J1156" s="206"/>
      <c r="K1156" s="206"/>
      <c r="L1156" s="137"/>
      <c r="M1156" s="163"/>
      <c r="N1156" s="163"/>
      <c r="O1156" s="288"/>
      <c r="P1156" s="205"/>
      <c r="Q1156" s="236">
        <f t="shared" ref="Q1156:Q1162" si="515">SUM(R1156,U1156)</f>
        <v>0</v>
      </c>
      <c r="R1156" s="236">
        <f t="shared" ref="R1156:R1161" si="516">SUM(S1156:T1156)</f>
        <v>0</v>
      </c>
      <c r="S1156" s="236"/>
      <c r="T1156" s="236"/>
      <c r="U1156" s="236">
        <f t="shared" ref="U1156:U1162" si="517">SUM(V1156:Y1156)</f>
        <v>0</v>
      </c>
      <c r="V1156" s="236"/>
      <c r="W1156" s="232">
        <f t="shared" ref="W1156:W1162" si="518">V1156*0.304</f>
        <v>0</v>
      </c>
      <c r="X1156" s="236"/>
      <c r="Y1156" s="236"/>
      <c r="Z1156" s="236"/>
    </row>
    <row r="1157" spans="1:26" hidden="1" outlineLevel="2">
      <c r="A1157" s="19"/>
      <c r="B1157" s="38"/>
      <c r="C1157" s="207"/>
      <c r="D1157" s="208"/>
      <c r="E1157" s="133"/>
      <c r="F1157" s="261"/>
      <c r="G1157" s="138"/>
      <c r="H1157" s="135"/>
      <c r="I1157" s="206"/>
      <c r="J1157" s="206"/>
      <c r="K1157" s="206"/>
      <c r="L1157" s="137"/>
      <c r="M1157" s="163"/>
      <c r="N1157" s="163"/>
      <c r="O1157" s="288"/>
      <c r="P1157" s="205"/>
      <c r="Q1157" s="236">
        <f t="shared" si="515"/>
        <v>0</v>
      </c>
      <c r="R1157" s="236">
        <f t="shared" si="516"/>
        <v>0</v>
      </c>
      <c r="S1157" s="236"/>
      <c r="T1157" s="236"/>
      <c r="U1157" s="236">
        <f t="shared" si="517"/>
        <v>0</v>
      </c>
      <c r="V1157" s="236"/>
      <c r="W1157" s="232">
        <f t="shared" si="518"/>
        <v>0</v>
      </c>
      <c r="X1157" s="236"/>
      <c r="Y1157" s="236"/>
      <c r="Z1157" s="236"/>
    </row>
    <row r="1158" spans="1:26" hidden="1" outlineLevel="2">
      <c r="A1158" s="19"/>
      <c r="B1158" s="38"/>
      <c r="C1158" s="207"/>
      <c r="D1158" s="208"/>
      <c r="E1158" s="133"/>
      <c r="F1158" s="261"/>
      <c r="G1158" s="138"/>
      <c r="H1158" s="135"/>
      <c r="I1158" s="206"/>
      <c r="J1158" s="206"/>
      <c r="K1158" s="206"/>
      <c r="L1158" s="137"/>
      <c r="M1158" s="163"/>
      <c r="N1158" s="163"/>
      <c r="O1158" s="288"/>
      <c r="P1158" s="205"/>
      <c r="Q1158" s="236">
        <f t="shared" si="515"/>
        <v>0</v>
      </c>
      <c r="R1158" s="236">
        <f t="shared" si="516"/>
        <v>0</v>
      </c>
      <c r="S1158" s="236"/>
      <c r="T1158" s="236"/>
      <c r="U1158" s="236">
        <f t="shared" si="517"/>
        <v>0</v>
      </c>
      <c r="V1158" s="236"/>
      <c r="W1158" s="232">
        <f t="shared" si="518"/>
        <v>0</v>
      </c>
      <c r="X1158" s="236"/>
      <c r="Y1158" s="236"/>
      <c r="Z1158" s="236"/>
    </row>
    <row r="1159" spans="1:26" hidden="1" outlineLevel="2">
      <c r="A1159" s="19"/>
      <c r="B1159" s="38"/>
      <c r="C1159" s="207"/>
      <c r="D1159" s="208"/>
      <c r="E1159" s="133"/>
      <c r="F1159" s="261"/>
      <c r="G1159" s="138"/>
      <c r="H1159" s="135"/>
      <c r="I1159" s="206"/>
      <c r="J1159" s="206"/>
      <c r="K1159" s="206"/>
      <c r="L1159" s="137"/>
      <c r="M1159" s="163"/>
      <c r="N1159" s="163"/>
      <c r="O1159" s="288"/>
      <c r="P1159" s="205"/>
      <c r="Q1159" s="236">
        <f t="shared" si="515"/>
        <v>0</v>
      </c>
      <c r="R1159" s="236">
        <f t="shared" si="516"/>
        <v>0</v>
      </c>
      <c r="S1159" s="236"/>
      <c r="T1159" s="236"/>
      <c r="U1159" s="236">
        <f t="shared" si="517"/>
        <v>0</v>
      </c>
      <c r="V1159" s="236"/>
      <c r="W1159" s="232">
        <f t="shared" si="518"/>
        <v>0</v>
      </c>
      <c r="X1159" s="236"/>
      <c r="Y1159" s="236"/>
      <c r="Z1159" s="236"/>
    </row>
    <row r="1160" spans="1:26" hidden="1" outlineLevel="2">
      <c r="A1160" s="160"/>
      <c r="B1160" s="38"/>
      <c r="C1160" s="207"/>
      <c r="D1160" s="208"/>
      <c r="E1160" s="133"/>
      <c r="F1160" s="261"/>
      <c r="G1160" s="138"/>
      <c r="H1160" s="139"/>
      <c r="I1160" s="206"/>
      <c r="J1160" s="206"/>
      <c r="K1160" s="206"/>
      <c r="L1160" s="137"/>
      <c r="M1160" s="74"/>
      <c r="N1160" s="74"/>
      <c r="O1160" s="19"/>
      <c r="P1160" s="205"/>
      <c r="Q1160" s="236">
        <f t="shared" si="515"/>
        <v>0</v>
      </c>
      <c r="R1160" s="236">
        <f t="shared" si="516"/>
        <v>0</v>
      </c>
      <c r="S1160" s="235"/>
      <c r="T1160" s="235"/>
      <c r="U1160" s="236">
        <f t="shared" si="517"/>
        <v>0</v>
      </c>
      <c r="V1160" s="235"/>
      <c r="W1160" s="232">
        <f t="shared" si="518"/>
        <v>0</v>
      </c>
      <c r="X1160" s="235"/>
      <c r="Y1160" s="235"/>
      <c r="Z1160" s="235"/>
    </row>
    <row r="1161" spans="1:26" hidden="1" outlineLevel="2">
      <c r="A1161" s="160"/>
      <c r="B1161" s="38"/>
      <c r="C1161" s="207"/>
      <c r="D1161" s="208"/>
      <c r="E1161" s="133"/>
      <c r="F1161" s="261"/>
      <c r="G1161" s="138"/>
      <c r="H1161" s="139"/>
      <c r="I1161" s="206"/>
      <c r="J1161" s="206"/>
      <c r="K1161" s="206"/>
      <c r="L1161" s="137"/>
      <c r="M1161" s="74"/>
      <c r="N1161" s="19"/>
      <c r="O1161" s="19"/>
      <c r="P1161" s="205"/>
      <c r="Q1161" s="236">
        <f t="shared" si="515"/>
        <v>0</v>
      </c>
      <c r="R1161" s="236">
        <f t="shared" si="516"/>
        <v>0</v>
      </c>
      <c r="S1161" s="235"/>
      <c r="T1161" s="235"/>
      <c r="U1161" s="236">
        <f t="shared" si="517"/>
        <v>0</v>
      </c>
      <c r="V1161" s="235"/>
      <c r="W1161" s="232">
        <f t="shared" si="518"/>
        <v>0</v>
      </c>
      <c r="X1161" s="235"/>
      <c r="Y1161" s="235"/>
      <c r="Z1161" s="235"/>
    </row>
    <row r="1162" spans="1:26" hidden="1" outlineLevel="2">
      <c r="A1162" s="160"/>
      <c r="B1162" s="38"/>
      <c r="C1162" s="207"/>
      <c r="D1162" s="208"/>
      <c r="E1162" s="133"/>
      <c r="F1162" s="261"/>
      <c r="G1162" s="138"/>
      <c r="H1162" s="139"/>
      <c r="I1162" s="206"/>
      <c r="J1162" s="206"/>
      <c r="K1162" s="206"/>
      <c r="L1162" s="137"/>
      <c r="M1162" s="74"/>
      <c r="N1162" s="19"/>
      <c r="O1162" s="19"/>
      <c r="P1162" s="205"/>
      <c r="Q1162" s="236">
        <f t="shared" si="515"/>
        <v>0</v>
      </c>
      <c r="R1162" s="236">
        <f>SUM(S1162:T1162)</f>
        <v>0</v>
      </c>
      <c r="S1162" s="235"/>
      <c r="T1162" s="235"/>
      <c r="U1162" s="236">
        <f t="shared" si="517"/>
        <v>0</v>
      </c>
      <c r="V1162" s="235"/>
      <c r="W1162" s="232">
        <f t="shared" si="518"/>
        <v>0</v>
      </c>
      <c r="X1162" s="235"/>
      <c r="Y1162" s="235"/>
      <c r="Z1162" s="235"/>
    </row>
    <row r="1163" spans="1:26" hidden="1" outlineLevel="2">
      <c r="A1163" s="164"/>
      <c r="B1163" s="351"/>
      <c r="C1163" s="227"/>
      <c r="D1163" s="228"/>
      <c r="E1163" s="165"/>
      <c r="F1163" s="279"/>
      <c r="G1163" s="166"/>
      <c r="H1163" s="167"/>
      <c r="I1163" s="229"/>
      <c r="J1163" s="229"/>
      <c r="K1163" s="229"/>
      <c r="L1163" s="137"/>
      <c r="M1163" s="351"/>
      <c r="N1163" s="168"/>
      <c r="O1163" s="168"/>
      <c r="P1163" s="231"/>
      <c r="Q1163" s="233"/>
      <c r="R1163" s="233"/>
      <c r="S1163" s="233"/>
      <c r="T1163" s="233"/>
      <c r="U1163" s="233"/>
      <c r="V1163" s="233"/>
      <c r="W1163" s="233"/>
      <c r="X1163" s="233"/>
      <c r="Y1163" s="233"/>
      <c r="Z1163" s="233"/>
    </row>
    <row r="1164" spans="1:26" s="75" customFormat="1" ht="15.75" outlineLevel="1" collapsed="1" thickBot="1">
      <c r="A1164" s="237"/>
      <c r="B1164" s="238"/>
      <c r="C1164" s="239"/>
      <c r="D1164" s="240"/>
      <c r="E1164" s="241"/>
      <c r="F1164" s="264"/>
      <c r="G1164" s="242"/>
      <c r="H1164" s="243"/>
      <c r="I1164" s="244"/>
      <c r="J1164" s="244"/>
      <c r="K1164" s="244"/>
      <c r="L1164" s="150" t="str">
        <f>CONCATENATE(L1165," ",N1165,M1165," ",L1166," ",N1166,M1166," "," ",L1167," ",N1167,M1167," ",L1168," ",N1168,M1168," ",L1169," ",N1169,M1169," ",L1170," ",N1170,M1170," ",L1171," ",N1171,M1171," ",L1172," ",N1172,M1172)</f>
        <v xml:space="preserve">                </v>
      </c>
      <c r="M1164" s="243"/>
      <c r="N1164" s="243"/>
      <c r="O1164" s="287">
        <f>SUM(O1165:O1172)</f>
        <v>0</v>
      </c>
      <c r="P1164" s="245"/>
      <c r="Q1164" s="246">
        <f>SUM(Q1165:Q1172)</f>
        <v>0</v>
      </c>
      <c r="R1164" s="246">
        <f t="shared" ref="R1164:Y1164" si="519">SUM(R1165:R1172)</f>
        <v>0</v>
      </c>
      <c r="S1164" s="246">
        <f t="shared" si="519"/>
        <v>0</v>
      </c>
      <c r="T1164" s="246">
        <f t="shared" si="519"/>
        <v>0</v>
      </c>
      <c r="U1164" s="246">
        <f t="shared" si="519"/>
        <v>0</v>
      </c>
      <c r="V1164" s="246">
        <f t="shared" si="519"/>
        <v>0</v>
      </c>
      <c r="W1164" s="246">
        <f t="shared" si="519"/>
        <v>0</v>
      </c>
      <c r="X1164" s="246">
        <f t="shared" si="519"/>
        <v>0</v>
      </c>
      <c r="Y1164" s="246">
        <f t="shared" si="519"/>
        <v>0</v>
      </c>
      <c r="Z1164" s="246">
        <f>SUM(Z1165:Z1172)</f>
        <v>0</v>
      </c>
    </row>
    <row r="1165" spans="1:26" hidden="1" outlineLevel="2">
      <c r="A1165" s="19"/>
      <c r="B1165" s="38"/>
      <c r="C1165" s="207"/>
      <c r="D1165" s="208"/>
      <c r="E1165" s="133"/>
      <c r="F1165" s="261"/>
      <c r="G1165" s="138"/>
      <c r="H1165" s="135"/>
      <c r="I1165" s="206"/>
      <c r="J1165" s="206"/>
      <c r="K1165" s="206"/>
      <c r="L1165" s="137"/>
      <c r="M1165" s="163"/>
      <c r="N1165" s="163"/>
      <c r="O1165" s="288"/>
      <c r="P1165" s="205"/>
      <c r="Q1165" s="236">
        <f>SUM(R1165,U1165)</f>
        <v>0</v>
      </c>
      <c r="R1165" s="236">
        <f>SUM(S1165:T1165)</f>
        <v>0</v>
      </c>
      <c r="S1165" s="236"/>
      <c r="T1165" s="236"/>
      <c r="U1165" s="236">
        <f>SUM(V1165:Y1165)</f>
        <v>0</v>
      </c>
      <c r="V1165" s="236"/>
      <c r="W1165" s="232">
        <f>V1165*0.304</f>
        <v>0</v>
      </c>
      <c r="X1165" s="236"/>
      <c r="Y1165" s="236"/>
      <c r="Z1165" s="236"/>
    </row>
    <row r="1166" spans="1:26" hidden="1" outlineLevel="2">
      <c r="A1166" s="19"/>
      <c r="B1166" s="38"/>
      <c r="C1166" s="207"/>
      <c r="D1166" s="208"/>
      <c r="E1166" s="133"/>
      <c r="F1166" s="261"/>
      <c r="G1166" s="138"/>
      <c r="H1166" s="135"/>
      <c r="I1166" s="206"/>
      <c r="J1166" s="206"/>
      <c r="K1166" s="206"/>
      <c r="L1166" s="137"/>
      <c r="M1166" s="163"/>
      <c r="N1166" s="163"/>
      <c r="O1166" s="288"/>
      <c r="P1166" s="205"/>
      <c r="Q1166" s="236">
        <f t="shared" ref="Q1166:Q1172" si="520">SUM(R1166,U1166)</f>
        <v>0</v>
      </c>
      <c r="R1166" s="236">
        <f t="shared" ref="R1166:R1171" si="521">SUM(S1166:T1166)</f>
        <v>0</v>
      </c>
      <c r="S1166" s="236"/>
      <c r="T1166" s="236"/>
      <c r="U1166" s="236">
        <f t="shared" ref="U1166:U1172" si="522">SUM(V1166:Y1166)</f>
        <v>0</v>
      </c>
      <c r="V1166" s="236"/>
      <c r="W1166" s="232">
        <f t="shared" ref="W1166:W1172" si="523">V1166*0.304</f>
        <v>0</v>
      </c>
      <c r="X1166" s="236"/>
      <c r="Y1166" s="236"/>
      <c r="Z1166" s="236"/>
    </row>
    <row r="1167" spans="1:26" hidden="1" outlineLevel="2">
      <c r="A1167" s="19"/>
      <c r="B1167" s="38"/>
      <c r="C1167" s="207"/>
      <c r="D1167" s="208"/>
      <c r="E1167" s="133"/>
      <c r="F1167" s="261"/>
      <c r="G1167" s="138"/>
      <c r="H1167" s="135"/>
      <c r="I1167" s="206"/>
      <c r="J1167" s="206"/>
      <c r="K1167" s="206"/>
      <c r="L1167" s="137"/>
      <c r="M1167" s="163"/>
      <c r="N1167" s="163"/>
      <c r="O1167" s="288"/>
      <c r="P1167" s="205"/>
      <c r="Q1167" s="236">
        <f t="shared" si="520"/>
        <v>0</v>
      </c>
      <c r="R1167" s="236">
        <f t="shared" si="521"/>
        <v>0</v>
      </c>
      <c r="S1167" s="236"/>
      <c r="T1167" s="236"/>
      <c r="U1167" s="236">
        <f t="shared" si="522"/>
        <v>0</v>
      </c>
      <c r="V1167" s="236"/>
      <c r="W1167" s="232">
        <f t="shared" si="523"/>
        <v>0</v>
      </c>
      <c r="X1167" s="236"/>
      <c r="Y1167" s="236"/>
      <c r="Z1167" s="236"/>
    </row>
    <row r="1168" spans="1:26" hidden="1" outlineLevel="2">
      <c r="A1168" s="19"/>
      <c r="B1168" s="38"/>
      <c r="C1168" s="207"/>
      <c r="D1168" s="208"/>
      <c r="E1168" s="133"/>
      <c r="F1168" s="261"/>
      <c r="G1168" s="138"/>
      <c r="H1168" s="135"/>
      <c r="I1168" s="206"/>
      <c r="J1168" s="206"/>
      <c r="K1168" s="206"/>
      <c r="L1168" s="137"/>
      <c r="M1168" s="163"/>
      <c r="N1168" s="163"/>
      <c r="O1168" s="288"/>
      <c r="P1168" s="205"/>
      <c r="Q1168" s="236">
        <f t="shared" si="520"/>
        <v>0</v>
      </c>
      <c r="R1168" s="236">
        <f t="shared" si="521"/>
        <v>0</v>
      </c>
      <c r="S1168" s="236"/>
      <c r="T1168" s="236"/>
      <c r="U1168" s="236">
        <f t="shared" si="522"/>
        <v>0</v>
      </c>
      <c r="V1168" s="236"/>
      <c r="W1168" s="232">
        <f t="shared" si="523"/>
        <v>0</v>
      </c>
      <c r="X1168" s="236"/>
      <c r="Y1168" s="236"/>
      <c r="Z1168" s="236"/>
    </row>
    <row r="1169" spans="1:26" hidden="1" outlineLevel="2">
      <c r="A1169" s="19"/>
      <c r="B1169" s="38"/>
      <c r="C1169" s="207"/>
      <c r="D1169" s="208"/>
      <c r="E1169" s="133"/>
      <c r="F1169" s="261"/>
      <c r="G1169" s="138"/>
      <c r="H1169" s="135"/>
      <c r="I1169" s="206"/>
      <c r="J1169" s="206"/>
      <c r="K1169" s="206"/>
      <c r="L1169" s="137"/>
      <c r="M1169" s="163"/>
      <c r="N1169" s="163"/>
      <c r="O1169" s="288"/>
      <c r="P1169" s="205"/>
      <c r="Q1169" s="236">
        <f t="shared" si="520"/>
        <v>0</v>
      </c>
      <c r="R1169" s="236">
        <f t="shared" si="521"/>
        <v>0</v>
      </c>
      <c r="S1169" s="236"/>
      <c r="T1169" s="236"/>
      <c r="U1169" s="236">
        <f t="shared" si="522"/>
        <v>0</v>
      </c>
      <c r="V1169" s="236"/>
      <c r="W1169" s="232">
        <f t="shared" si="523"/>
        <v>0</v>
      </c>
      <c r="X1169" s="236"/>
      <c r="Y1169" s="236"/>
      <c r="Z1169" s="236"/>
    </row>
    <row r="1170" spans="1:26" hidden="1" outlineLevel="2">
      <c r="A1170" s="160"/>
      <c r="B1170" s="38"/>
      <c r="C1170" s="207"/>
      <c r="D1170" s="208"/>
      <c r="E1170" s="133"/>
      <c r="F1170" s="261"/>
      <c r="G1170" s="138"/>
      <c r="H1170" s="139"/>
      <c r="I1170" s="206"/>
      <c r="J1170" s="206"/>
      <c r="K1170" s="206"/>
      <c r="L1170" s="137"/>
      <c r="M1170" s="74"/>
      <c r="N1170" s="74"/>
      <c r="O1170" s="19"/>
      <c r="P1170" s="205"/>
      <c r="Q1170" s="236">
        <f t="shared" si="520"/>
        <v>0</v>
      </c>
      <c r="R1170" s="236">
        <f t="shared" si="521"/>
        <v>0</v>
      </c>
      <c r="S1170" s="235"/>
      <c r="T1170" s="235"/>
      <c r="U1170" s="236">
        <f t="shared" si="522"/>
        <v>0</v>
      </c>
      <c r="V1170" s="235"/>
      <c r="W1170" s="232">
        <f t="shared" si="523"/>
        <v>0</v>
      </c>
      <c r="X1170" s="235"/>
      <c r="Y1170" s="235"/>
      <c r="Z1170" s="235"/>
    </row>
    <row r="1171" spans="1:26" hidden="1" outlineLevel="2">
      <c r="A1171" s="160"/>
      <c r="B1171" s="38"/>
      <c r="C1171" s="207"/>
      <c r="D1171" s="208"/>
      <c r="E1171" s="133"/>
      <c r="F1171" s="261"/>
      <c r="G1171" s="138"/>
      <c r="H1171" s="139"/>
      <c r="I1171" s="206"/>
      <c r="J1171" s="206"/>
      <c r="K1171" s="206"/>
      <c r="L1171" s="137"/>
      <c r="M1171" s="74"/>
      <c r="N1171" s="19"/>
      <c r="O1171" s="19"/>
      <c r="P1171" s="205"/>
      <c r="Q1171" s="236">
        <f t="shared" si="520"/>
        <v>0</v>
      </c>
      <c r="R1171" s="236">
        <f t="shared" si="521"/>
        <v>0</v>
      </c>
      <c r="S1171" s="235"/>
      <c r="T1171" s="235"/>
      <c r="U1171" s="236">
        <f t="shared" si="522"/>
        <v>0</v>
      </c>
      <c r="V1171" s="235"/>
      <c r="W1171" s="232">
        <f t="shared" si="523"/>
        <v>0</v>
      </c>
      <c r="X1171" s="235"/>
      <c r="Y1171" s="235"/>
      <c r="Z1171" s="235"/>
    </row>
    <row r="1172" spans="1:26" hidden="1" outlineLevel="2">
      <c r="A1172" s="160"/>
      <c r="B1172" s="38"/>
      <c r="C1172" s="207"/>
      <c r="D1172" s="208"/>
      <c r="E1172" s="133"/>
      <c r="F1172" s="261"/>
      <c r="G1172" s="138"/>
      <c r="H1172" s="139"/>
      <c r="I1172" s="206"/>
      <c r="J1172" s="206"/>
      <c r="K1172" s="206"/>
      <c r="L1172" s="137"/>
      <c r="M1172" s="74"/>
      <c r="N1172" s="19"/>
      <c r="O1172" s="19"/>
      <c r="P1172" s="205"/>
      <c r="Q1172" s="236">
        <f t="shared" si="520"/>
        <v>0</v>
      </c>
      <c r="R1172" s="236">
        <f>SUM(S1172:T1172)</f>
        <v>0</v>
      </c>
      <c r="S1172" s="235"/>
      <c r="T1172" s="235"/>
      <c r="U1172" s="236">
        <f t="shared" si="522"/>
        <v>0</v>
      </c>
      <c r="V1172" s="235"/>
      <c r="W1172" s="232">
        <f t="shared" si="523"/>
        <v>0</v>
      </c>
      <c r="X1172" s="235"/>
      <c r="Y1172" s="235"/>
      <c r="Z1172" s="235"/>
    </row>
    <row r="1173" spans="1:26" ht="15.75" hidden="1" outlineLevel="2" thickBot="1">
      <c r="A1173" s="164"/>
      <c r="B1173" s="351"/>
      <c r="C1173" s="227"/>
      <c r="D1173" s="228"/>
      <c r="E1173" s="165"/>
      <c r="F1173" s="279"/>
      <c r="G1173" s="166"/>
      <c r="H1173" s="167"/>
      <c r="I1173" s="229"/>
      <c r="J1173" s="229"/>
      <c r="K1173" s="229"/>
      <c r="L1173" s="137"/>
      <c r="M1173" s="351"/>
      <c r="N1173" s="168"/>
      <c r="O1173" s="168"/>
      <c r="P1173" s="231"/>
      <c r="Q1173" s="233"/>
      <c r="R1173" s="233"/>
      <c r="S1173" s="233"/>
      <c r="T1173" s="233"/>
      <c r="U1173" s="233"/>
      <c r="V1173" s="233"/>
      <c r="W1173" s="233"/>
      <c r="X1173" s="233"/>
      <c r="Y1173" s="233"/>
      <c r="Z1173" s="233"/>
    </row>
    <row r="1174" spans="1:26" ht="19.5" thickBot="1">
      <c r="A1174" s="622">
        <v>4</v>
      </c>
      <c r="B1174" s="622"/>
      <c r="C1174" s="622"/>
      <c r="D1174" s="622"/>
      <c r="E1174" s="56" t="s">
        <v>63</v>
      </c>
      <c r="F1174" s="278"/>
      <c r="G1174" s="57"/>
      <c r="H1174" s="58"/>
      <c r="I1174" s="68"/>
      <c r="J1174" s="68"/>
      <c r="K1174" s="68"/>
      <c r="L1174" s="59"/>
      <c r="M1174" s="58"/>
      <c r="N1174" s="58"/>
      <c r="O1174" s="68"/>
      <c r="P1174" s="117"/>
      <c r="Q1174" s="60">
        <v>0</v>
      </c>
      <c r="R1174" s="60">
        <v>0</v>
      </c>
      <c r="S1174" s="60">
        <v>0</v>
      </c>
      <c r="T1174" s="60">
        <v>0</v>
      </c>
      <c r="U1174" s="60">
        <v>0</v>
      </c>
      <c r="V1174" s="60">
        <v>0</v>
      </c>
      <c r="W1174" s="60">
        <v>0</v>
      </c>
      <c r="X1174" s="60">
        <v>0</v>
      </c>
      <c r="Y1174" s="60">
        <v>0</v>
      </c>
      <c r="Z1174" s="60">
        <v>0</v>
      </c>
    </row>
    <row r="1175" spans="1:26" s="75" customFormat="1" outlineLevel="1" collapsed="1">
      <c r="A1175" s="237"/>
      <c r="B1175" s="238"/>
      <c r="C1175" s="239"/>
      <c r="D1175" s="240"/>
      <c r="E1175" s="241"/>
      <c r="F1175" s="264"/>
      <c r="G1175" s="242"/>
      <c r="H1175" s="243"/>
      <c r="I1175" s="244"/>
      <c r="J1175" s="244"/>
      <c r="K1175" s="244"/>
      <c r="L1175" s="150" t="str">
        <f>CONCATENATE(L1176," ",N1176,M1176," ",L1177," ",N1177,M1177," "," ",L1178," ",N1178,M1178," ",L1179," ",N1179,M1179," ",L1180," ",N1180,M1180," ",L1181," ",N1181,M1181," ",L1182," ",N1182,M1182," ",L1183," ",N1183,M1183)</f>
        <v xml:space="preserve">                </v>
      </c>
      <c r="M1175" s="243"/>
      <c r="N1175" s="243"/>
      <c r="O1175" s="287">
        <f>SUM(O1176:O1183)</f>
        <v>0</v>
      </c>
      <c r="P1175" s="245"/>
      <c r="Q1175" s="246">
        <f>SUM(Q1176:Q1183)</f>
        <v>0</v>
      </c>
      <c r="R1175" s="246">
        <f t="shared" ref="R1175:Y1175" si="524">SUM(R1176:R1183)</f>
        <v>0</v>
      </c>
      <c r="S1175" s="246">
        <f t="shared" si="524"/>
        <v>0</v>
      </c>
      <c r="T1175" s="246">
        <f t="shared" si="524"/>
        <v>0</v>
      </c>
      <c r="U1175" s="246">
        <f t="shared" si="524"/>
        <v>0</v>
      </c>
      <c r="V1175" s="246">
        <f t="shared" si="524"/>
        <v>0</v>
      </c>
      <c r="W1175" s="246">
        <f t="shared" si="524"/>
        <v>0</v>
      </c>
      <c r="X1175" s="246">
        <f t="shared" si="524"/>
        <v>0</v>
      </c>
      <c r="Y1175" s="246">
        <f t="shared" si="524"/>
        <v>0</v>
      </c>
      <c r="Z1175" s="246">
        <f>SUM(Z1176:Z1183)</f>
        <v>0</v>
      </c>
    </row>
    <row r="1176" spans="1:26" hidden="1" outlineLevel="2">
      <c r="A1176" s="19"/>
      <c r="B1176" s="38"/>
      <c r="C1176" s="207"/>
      <c r="D1176" s="208"/>
      <c r="E1176" s="133"/>
      <c r="F1176" s="261"/>
      <c r="G1176" s="138"/>
      <c r="H1176" s="135"/>
      <c r="I1176" s="206"/>
      <c r="J1176" s="206"/>
      <c r="K1176" s="206"/>
      <c r="L1176" s="137"/>
      <c r="M1176" s="163"/>
      <c r="N1176" s="163"/>
      <c r="O1176" s="288"/>
      <c r="P1176" s="205"/>
      <c r="Q1176" s="236">
        <f>SUM(R1176,U1176)</f>
        <v>0</v>
      </c>
      <c r="R1176" s="236">
        <f>SUM(S1176:T1176)</f>
        <v>0</v>
      </c>
      <c r="S1176" s="236"/>
      <c r="T1176" s="236"/>
      <c r="U1176" s="236">
        <f>SUM(V1176:Y1176)</f>
        <v>0</v>
      </c>
      <c r="V1176" s="236"/>
      <c r="W1176" s="232">
        <f>V1176*0.304</f>
        <v>0</v>
      </c>
      <c r="X1176" s="236"/>
      <c r="Y1176" s="236"/>
      <c r="Z1176" s="236"/>
    </row>
    <row r="1177" spans="1:26" hidden="1" outlineLevel="2">
      <c r="A1177" s="19"/>
      <c r="B1177" s="38"/>
      <c r="C1177" s="207"/>
      <c r="D1177" s="208"/>
      <c r="E1177" s="133"/>
      <c r="F1177" s="261"/>
      <c r="G1177" s="138"/>
      <c r="H1177" s="135"/>
      <c r="I1177" s="206"/>
      <c r="J1177" s="206"/>
      <c r="K1177" s="206"/>
      <c r="L1177" s="137"/>
      <c r="M1177" s="163"/>
      <c r="N1177" s="163"/>
      <c r="O1177" s="288"/>
      <c r="P1177" s="205"/>
      <c r="Q1177" s="236">
        <f t="shared" ref="Q1177:Q1183" si="525">SUM(R1177,U1177)</f>
        <v>0</v>
      </c>
      <c r="R1177" s="236">
        <f t="shared" ref="R1177:R1182" si="526">SUM(S1177:T1177)</f>
        <v>0</v>
      </c>
      <c r="S1177" s="236"/>
      <c r="T1177" s="236"/>
      <c r="U1177" s="236">
        <f t="shared" ref="U1177:U1183" si="527">SUM(V1177:Y1177)</f>
        <v>0</v>
      </c>
      <c r="V1177" s="236"/>
      <c r="W1177" s="232">
        <f t="shared" ref="W1177:W1183" si="528">V1177*0.304</f>
        <v>0</v>
      </c>
      <c r="X1177" s="236"/>
      <c r="Y1177" s="236"/>
      <c r="Z1177" s="236"/>
    </row>
    <row r="1178" spans="1:26" hidden="1" outlineLevel="2">
      <c r="A1178" s="19"/>
      <c r="B1178" s="38"/>
      <c r="C1178" s="207"/>
      <c r="D1178" s="208"/>
      <c r="E1178" s="133"/>
      <c r="F1178" s="261"/>
      <c r="G1178" s="138"/>
      <c r="H1178" s="135"/>
      <c r="I1178" s="206"/>
      <c r="J1178" s="206"/>
      <c r="K1178" s="206"/>
      <c r="L1178" s="137"/>
      <c r="M1178" s="163"/>
      <c r="N1178" s="163"/>
      <c r="O1178" s="288"/>
      <c r="P1178" s="205"/>
      <c r="Q1178" s="236">
        <f t="shared" si="525"/>
        <v>0</v>
      </c>
      <c r="R1178" s="236">
        <f t="shared" si="526"/>
        <v>0</v>
      </c>
      <c r="S1178" s="236"/>
      <c r="T1178" s="236"/>
      <c r="U1178" s="236">
        <f t="shared" si="527"/>
        <v>0</v>
      </c>
      <c r="V1178" s="236"/>
      <c r="W1178" s="232">
        <f t="shared" si="528"/>
        <v>0</v>
      </c>
      <c r="X1178" s="236"/>
      <c r="Y1178" s="236"/>
      <c r="Z1178" s="236"/>
    </row>
    <row r="1179" spans="1:26" hidden="1" outlineLevel="2">
      <c r="A1179" s="19"/>
      <c r="B1179" s="38"/>
      <c r="C1179" s="207"/>
      <c r="D1179" s="208"/>
      <c r="E1179" s="133"/>
      <c r="F1179" s="261"/>
      <c r="G1179" s="138"/>
      <c r="H1179" s="135"/>
      <c r="I1179" s="206"/>
      <c r="J1179" s="206"/>
      <c r="K1179" s="206"/>
      <c r="L1179" s="137"/>
      <c r="M1179" s="163"/>
      <c r="N1179" s="163"/>
      <c r="O1179" s="288"/>
      <c r="P1179" s="205"/>
      <c r="Q1179" s="236">
        <f t="shared" si="525"/>
        <v>0</v>
      </c>
      <c r="R1179" s="236">
        <f t="shared" si="526"/>
        <v>0</v>
      </c>
      <c r="S1179" s="236"/>
      <c r="T1179" s="236"/>
      <c r="U1179" s="236">
        <f t="shared" si="527"/>
        <v>0</v>
      </c>
      <c r="V1179" s="236"/>
      <c r="W1179" s="232">
        <f t="shared" si="528"/>
        <v>0</v>
      </c>
      <c r="X1179" s="236"/>
      <c r="Y1179" s="236"/>
      <c r="Z1179" s="236"/>
    </row>
    <row r="1180" spans="1:26" hidden="1" outlineLevel="2">
      <c r="A1180" s="19"/>
      <c r="B1180" s="38"/>
      <c r="C1180" s="207"/>
      <c r="D1180" s="208"/>
      <c r="E1180" s="133"/>
      <c r="F1180" s="261"/>
      <c r="G1180" s="138"/>
      <c r="H1180" s="135"/>
      <c r="I1180" s="206"/>
      <c r="J1180" s="206"/>
      <c r="K1180" s="206"/>
      <c r="L1180" s="137"/>
      <c r="M1180" s="163"/>
      <c r="N1180" s="163"/>
      <c r="O1180" s="288"/>
      <c r="P1180" s="205"/>
      <c r="Q1180" s="236">
        <f t="shared" si="525"/>
        <v>0</v>
      </c>
      <c r="R1180" s="236">
        <f t="shared" si="526"/>
        <v>0</v>
      </c>
      <c r="S1180" s="236"/>
      <c r="T1180" s="236"/>
      <c r="U1180" s="236">
        <f t="shared" si="527"/>
        <v>0</v>
      </c>
      <c r="V1180" s="236"/>
      <c r="W1180" s="232">
        <f t="shared" si="528"/>
        <v>0</v>
      </c>
      <c r="X1180" s="236"/>
      <c r="Y1180" s="236"/>
      <c r="Z1180" s="236"/>
    </row>
    <row r="1181" spans="1:26" hidden="1" outlineLevel="2">
      <c r="A1181" s="160"/>
      <c r="B1181" s="38"/>
      <c r="C1181" s="207"/>
      <c r="D1181" s="208"/>
      <c r="E1181" s="133"/>
      <c r="F1181" s="261"/>
      <c r="G1181" s="138"/>
      <c r="H1181" s="139"/>
      <c r="I1181" s="206"/>
      <c r="J1181" s="206"/>
      <c r="K1181" s="206"/>
      <c r="L1181" s="137"/>
      <c r="M1181" s="74"/>
      <c r="N1181" s="74"/>
      <c r="O1181" s="19"/>
      <c r="P1181" s="205"/>
      <c r="Q1181" s="236">
        <f t="shared" si="525"/>
        <v>0</v>
      </c>
      <c r="R1181" s="236">
        <f t="shared" si="526"/>
        <v>0</v>
      </c>
      <c r="S1181" s="235"/>
      <c r="T1181" s="235"/>
      <c r="U1181" s="236">
        <f t="shared" si="527"/>
        <v>0</v>
      </c>
      <c r="V1181" s="235"/>
      <c r="W1181" s="232">
        <f t="shared" si="528"/>
        <v>0</v>
      </c>
      <c r="X1181" s="235"/>
      <c r="Y1181" s="235"/>
      <c r="Z1181" s="235"/>
    </row>
    <row r="1182" spans="1:26" hidden="1" outlineLevel="2">
      <c r="A1182" s="160"/>
      <c r="B1182" s="38"/>
      <c r="C1182" s="207"/>
      <c r="D1182" s="208"/>
      <c r="E1182" s="133"/>
      <c r="F1182" s="261"/>
      <c r="G1182" s="138"/>
      <c r="H1182" s="139"/>
      <c r="I1182" s="206"/>
      <c r="J1182" s="206"/>
      <c r="K1182" s="206"/>
      <c r="L1182" s="137"/>
      <c r="M1182" s="74"/>
      <c r="N1182" s="19"/>
      <c r="O1182" s="19"/>
      <c r="P1182" s="205"/>
      <c r="Q1182" s="236">
        <f t="shared" si="525"/>
        <v>0</v>
      </c>
      <c r="R1182" s="236">
        <f t="shared" si="526"/>
        <v>0</v>
      </c>
      <c r="S1182" s="235"/>
      <c r="T1182" s="235"/>
      <c r="U1182" s="236">
        <f t="shared" si="527"/>
        <v>0</v>
      </c>
      <c r="V1182" s="235"/>
      <c r="W1182" s="232">
        <f t="shared" si="528"/>
        <v>0</v>
      </c>
      <c r="X1182" s="235"/>
      <c r="Y1182" s="235"/>
      <c r="Z1182" s="235"/>
    </row>
    <row r="1183" spans="1:26" hidden="1" outlineLevel="2">
      <c r="A1183" s="160"/>
      <c r="B1183" s="38"/>
      <c r="C1183" s="207"/>
      <c r="D1183" s="208"/>
      <c r="E1183" s="133"/>
      <c r="F1183" s="261"/>
      <c r="G1183" s="138"/>
      <c r="H1183" s="139"/>
      <c r="I1183" s="206"/>
      <c r="J1183" s="206"/>
      <c r="K1183" s="206"/>
      <c r="L1183" s="137"/>
      <c r="M1183" s="74"/>
      <c r="N1183" s="19"/>
      <c r="O1183" s="19"/>
      <c r="P1183" s="205"/>
      <c r="Q1183" s="236">
        <f t="shared" si="525"/>
        <v>0</v>
      </c>
      <c r="R1183" s="236">
        <f>SUM(S1183:T1183)</f>
        <v>0</v>
      </c>
      <c r="S1183" s="235"/>
      <c r="T1183" s="235"/>
      <c r="U1183" s="236">
        <f t="shared" si="527"/>
        <v>0</v>
      </c>
      <c r="V1183" s="235"/>
      <c r="W1183" s="232">
        <f t="shared" si="528"/>
        <v>0</v>
      </c>
      <c r="X1183" s="235"/>
      <c r="Y1183" s="235"/>
      <c r="Z1183" s="235"/>
    </row>
    <row r="1184" spans="1:26" hidden="1" outlineLevel="2">
      <c r="A1184" s="164"/>
      <c r="B1184" s="351"/>
      <c r="C1184" s="227"/>
      <c r="D1184" s="228"/>
      <c r="E1184" s="165"/>
      <c r="F1184" s="279"/>
      <c r="G1184" s="166"/>
      <c r="H1184" s="167"/>
      <c r="I1184" s="229"/>
      <c r="J1184" s="229"/>
      <c r="K1184" s="229"/>
      <c r="L1184" s="137"/>
      <c r="M1184" s="351"/>
      <c r="N1184" s="168"/>
      <c r="O1184" s="168"/>
      <c r="P1184" s="231"/>
      <c r="Q1184" s="233"/>
      <c r="R1184" s="233"/>
      <c r="S1184" s="233"/>
      <c r="T1184" s="233"/>
      <c r="U1184" s="233"/>
      <c r="V1184" s="233"/>
      <c r="W1184" s="233"/>
      <c r="X1184" s="233"/>
      <c r="Y1184" s="233"/>
      <c r="Z1184" s="233"/>
    </row>
    <row r="1185" spans="1:26" s="75" customFormat="1" outlineLevel="1" collapsed="1">
      <c r="A1185" s="237"/>
      <c r="B1185" s="238"/>
      <c r="C1185" s="239"/>
      <c r="D1185" s="240"/>
      <c r="E1185" s="241"/>
      <c r="F1185" s="264"/>
      <c r="G1185" s="242"/>
      <c r="H1185" s="243"/>
      <c r="I1185" s="244"/>
      <c r="J1185" s="244"/>
      <c r="K1185" s="244"/>
      <c r="L1185" s="150" t="str">
        <f>CONCATENATE(L1186," ",N1186,M1186," ",L1187," ",N1187,M1187," "," ",L1188," ",N1188,M1188," ",L1189," ",N1189,M1189," ",L1190," ",N1190,M1190," ",L1191," ",N1191,M1191," ",L1192," ",N1192,M1192," ",L1193," ",N1193,M1193)</f>
        <v xml:space="preserve">                </v>
      </c>
      <c r="M1185" s="243"/>
      <c r="N1185" s="243"/>
      <c r="O1185" s="287">
        <f>SUM(O1186:O1193)</f>
        <v>0</v>
      </c>
      <c r="P1185" s="245"/>
      <c r="Q1185" s="246">
        <f>SUM(Q1186:Q1193)</f>
        <v>0</v>
      </c>
      <c r="R1185" s="246">
        <f t="shared" ref="R1185:Y1185" si="529">SUM(R1186:R1193)</f>
        <v>0</v>
      </c>
      <c r="S1185" s="246">
        <f t="shared" si="529"/>
        <v>0</v>
      </c>
      <c r="T1185" s="246">
        <f t="shared" si="529"/>
        <v>0</v>
      </c>
      <c r="U1185" s="246">
        <f t="shared" si="529"/>
        <v>0</v>
      </c>
      <c r="V1185" s="246">
        <f t="shared" si="529"/>
        <v>0</v>
      </c>
      <c r="W1185" s="246">
        <f t="shared" si="529"/>
        <v>0</v>
      </c>
      <c r="X1185" s="246">
        <f t="shared" si="529"/>
        <v>0</v>
      </c>
      <c r="Y1185" s="246">
        <f t="shared" si="529"/>
        <v>0</v>
      </c>
      <c r="Z1185" s="246">
        <f>SUM(Z1186:Z1193)</f>
        <v>0</v>
      </c>
    </row>
    <row r="1186" spans="1:26" hidden="1" outlineLevel="2">
      <c r="A1186" s="19"/>
      <c r="B1186" s="38"/>
      <c r="C1186" s="207"/>
      <c r="D1186" s="208"/>
      <c r="E1186" s="133"/>
      <c r="F1186" s="261"/>
      <c r="G1186" s="138"/>
      <c r="H1186" s="135"/>
      <c r="I1186" s="206"/>
      <c r="J1186" s="206"/>
      <c r="K1186" s="206"/>
      <c r="L1186" s="137"/>
      <c r="M1186" s="163"/>
      <c r="N1186" s="163"/>
      <c r="O1186" s="288"/>
      <c r="P1186" s="205"/>
      <c r="Q1186" s="236">
        <f>SUM(R1186,U1186)</f>
        <v>0</v>
      </c>
      <c r="R1186" s="236">
        <f>SUM(S1186:T1186)</f>
        <v>0</v>
      </c>
      <c r="S1186" s="236"/>
      <c r="T1186" s="236"/>
      <c r="U1186" s="236">
        <f>SUM(V1186:Y1186)</f>
        <v>0</v>
      </c>
      <c r="V1186" s="236"/>
      <c r="W1186" s="232">
        <f>V1186*0.304</f>
        <v>0</v>
      </c>
      <c r="X1186" s="236"/>
      <c r="Y1186" s="236"/>
      <c r="Z1186" s="236"/>
    </row>
    <row r="1187" spans="1:26" hidden="1" outlineLevel="2">
      <c r="A1187" s="19"/>
      <c r="B1187" s="38"/>
      <c r="C1187" s="207"/>
      <c r="D1187" s="208"/>
      <c r="E1187" s="133"/>
      <c r="F1187" s="261"/>
      <c r="G1187" s="138"/>
      <c r="H1187" s="135"/>
      <c r="I1187" s="206"/>
      <c r="J1187" s="206"/>
      <c r="K1187" s="206"/>
      <c r="L1187" s="137"/>
      <c r="M1187" s="163"/>
      <c r="N1187" s="163"/>
      <c r="O1187" s="288"/>
      <c r="P1187" s="205"/>
      <c r="Q1187" s="236">
        <f t="shared" ref="Q1187:Q1193" si="530">SUM(R1187,U1187)</f>
        <v>0</v>
      </c>
      <c r="R1187" s="236">
        <f t="shared" ref="R1187:R1192" si="531">SUM(S1187:T1187)</f>
        <v>0</v>
      </c>
      <c r="S1187" s="236"/>
      <c r="T1187" s="236"/>
      <c r="U1187" s="236">
        <f t="shared" ref="U1187:U1193" si="532">SUM(V1187:Y1187)</f>
        <v>0</v>
      </c>
      <c r="V1187" s="236"/>
      <c r="W1187" s="232">
        <f t="shared" ref="W1187:W1193" si="533">V1187*0.304</f>
        <v>0</v>
      </c>
      <c r="X1187" s="236"/>
      <c r="Y1187" s="236"/>
      <c r="Z1187" s="236"/>
    </row>
    <row r="1188" spans="1:26" hidden="1" outlineLevel="2">
      <c r="A1188" s="19"/>
      <c r="B1188" s="38"/>
      <c r="C1188" s="207"/>
      <c r="D1188" s="208"/>
      <c r="E1188" s="133"/>
      <c r="F1188" s="261"/>
      <c r="G1188" s="138"/>
      <c r="H1188" s="135"/>
      <c r="I1188" s="206"/>
      <c r="J1188" s="206"/>
      <c r="K1188" s="206"/>
      <c r="L1188" s="137"/>
      <c r="M1188" s="163"/>
      <c r="N1188" s="163"/>
      <c r="O1188" s="288"/>
      <c r="P1188" s="205"/>
      <c r="Q1188" s="236">
        <f t="shared" si="530"/>
        <v>0</v>
      </c>
      <c r="R1188" s="236">
        <f t="shared" si="531"/>
        <v>0</v>
      </c>
      <c r="S1188" s="236"/>
      <c r="T1188" s="236"/>
      <c r="U1188" s="236">
        <f t="shared" si="532"/>
        <v>0</v>
      </c>
      <c r="V1188" s="236"/>
      <c r="W1188" s="232">
        <f t="shared" si="533"/>
        <v>0</v>
      </c>
      <c r="X1188" s="236"/>
      <c r="Y1188" s="236"/>
      <c r="Z1188" s="236"/>
    </row>
    <row r="1189" spans="1:26" hidden="1" outlineLevel="2">
      <c r="A1189" s="19"/>
      <c r="B1189" s="38"/>
      <c r="C1189" s="207"/>
      <c r="D1189" s="208"/>
      <c r="E1189" s="133"/>
      <c r="F1189" s="261"/>
      <c r="G1189" s="138"/>
      <c r="H1189" s="135"/>
      <c r="I1189" s="206"/>
      <c r="J1189" s="206"/>
      <c r="K1189" s="206"/>
      <c r="L1189" s="137"/>
      <c r="M1189" s="163"/>
      <c r="N1189" s="163"/>
      <c r="O1189" s="288"/>
      <c r="P1189" s="205"/>
      <c r="Q1189" s="236">
        <f t="shared" si="530"/>
        <v>0</v>
      </c>
      <c r="R1189" s="236">
        <f t="shared" si="531"/>
        <v>0</v>
      </c>
      <c r="S1189" s="236"/>
      <c r="T1189" s="236"/>
      <c r="U1189" s="236">
        <f t="shared" si="532"/>
        <v>0</v>
      </c>
      <c r="V1189" s="236"/>
      <c r="W1189" s="232">
        <f t="shared" si="533"/>
        <v>0</v>
      </c>
      <c r="X1189" s="236"/>
      <c r="Y1189" s="236"/>
      <c r="Z1189" s="236"/>
    </row>
    <row r="1190" spans="1:26" hidden="1" outlineLevel="2">
      <c r="A1190" s="19"/>
      <c r="B1190" s="38"/>
      <c r="C1190" s="207"/>
      <c r="D1190" s="208"/>
      <c r="E1190" s="133"/>
      <c r="F1190" s="261"/>
      <c r="G1190" s="138"/>
      <c r="H1190" s="135"/>
      <c r="I1190" s="206"/>
      <c r="J1190" s="206"/>
      <c r="K1190" s="206"/>
      <c r="L1190" s="137"/>
      <c r="M1190" s="163"/>
      <c r="N1190" s="163"/>
      <c r="O1190" s="288"/>
      <c r="P1190" s="205"/>
      <c r="Q1190" s="236">
        <f t="shared" si="530"/>
        <v>0</v>
      </c>
      <c r="R1190" s="236">
        <f t="shared" si="531"/>
        <v>0</v>
      </c>
      <c r="S1190" s="236"/>
      <c r="T1190" s="236"/>
      <c r="U1190" s="236">
        <f t="shared" si="532"/>
        <v>0</v>
      </c>
      <c r="V1190" s="236"/>
      <c r="W1190" s="232">
        <f t="shared" si="533"/>
        <v>0</v>
      </c>
      <c r="X1190" s="236"/>
      <c r="Y1190" s="236"/>
      <c r="Z1190" s="236"/>
    </row>
    <row r="1191" spans="1:26" hidden="1" outlineLevel="2">
      <c r="A1191" s="160"/>
      <c r="B1191" s="38"/>
      <c r="C1191" s="207"/>
      <c r="D1191" s="208"/>
      <c r="E1191" s="133"/>
      <c r="F1191" s="261"/>
      <c r="G1191" s="138"/>
      <c r="H1191" s="139"/>
      <c r="I1191" s="206"/>
      <c r="J1191" s="206"/>
      <c r="K1191" s="206"/>
      <c r="L1191" s="137"/>
      <c r="M1191" s="74"/>
      <c r="N1191" s="74"/>
      <c r="O1191" s="19"/>
      <c r="P1191" s="205"/>
      <c r="Q1191" s="236">
        <f t="shared" si="530"/>
        <v>0</v>
      </c>
      <c r="R1191" s="236">
        <f t="shared" si="531"/>
        <v>0</v>
      </c>
      <c r="S1191" s="235"/>
      <c r="T1191" s="235"/>
      <c r="U1191" s="236">
        <f t="shared" si="532"/>
        <v>0</v>
      </c>
      <c r="V1191" s="235"/>
      <c r="W1191" s="232">
        <f t="shared" si="533"/>
        <v>0</v>
      </c>
      <c r="X1191" s="235"/>
      <c r="Y1191" s="235"/>
      <c r="Z1191" s="235"/>
    </row>
    <row r="1192" spans="1:26" hidden="1" outlineLevel="2">
      <c r="A1192" s="160"/>
      <c r="B1192" s="38"/>
      <c r="C1192" s="207"/>
      <c r="D1192" s="208"/>
      <c r="E1192" s="133"/>
      <c r="F1192" s="261"/>
      <c r="G1192" s="138"/>
      <c r="H1192" s="139"/>
      <c r="I1192" s="206"/>
      <c r="J1192" s="206"/>
      <c r="K1192" s="206"/>
      <c r="L1192" s="137"/>
      <c r="M1192" s="74"/>
      <c r="N1192" s="19"/>
      <c r="O1192" s="19"/>
      <c r="P1192" s="205"/>
      <c r="Q1192" s="236">
        <f t="shared" si="530"/>
        <v>0</v>
      </c>
      <c r="R1192" s="236">
        <f t="shared" si="531"/>
        <v>0</v>
      </c>
      <c r="S1192" s="235"/>
      <c r="T1192" s="235"/>
      <c r="U1192" s="236">
        <f t="shared" si="532"/>
        <v>0</v>
      </c>
      <c r="V1192" s="235"/>
      <c r="W1192" s="232">
        <f t="shared" si="533"/>
        <v>0</v>
      </c>
      <c r="X1192" s="235"/>
      <c r="Y1192" s="235"/>
      <c r="Z1192" s="235"/>
    </row>
    <row r="1193" spans="1:26" hidden="1" outlineLevel="2">
      <c r="A1193" s="160"/>
      <c r="B1193" s="38"/>
      <c r="C1193" s="207"/>
      <c r="D1193" s="208"/>
      <c r="E1193" s="133"/>
      <c r="F1193" s="261"/>
      <c r="G1193" s="138"/>
      <c r="H1193" s="139"/>
      <c r="I1193" s="206"/>
      <c r="J1193" s="206"/>
      <c r="K1193" s="206"/>
      <c r="L1193" s="137"/>
      <c r="M1193" s="74"/>
      <c r="N1193" s="19"/>
      <c r="O1193" s="19"/>
      <c r="P1193" s="205"/>
      <c r="Q1193" s="236">
        <f t="shared" si="530"/>
        <v>0</v>
      </c>
      <c r="R1193" s="236">
        <f>SUM(S1193:T1193)</f>
        <v>0</v>
      </c>
      <c r="S1193" s="235"/>
      <c r="T1193" s="235"/>
      <c r="U1193" s="236">
        <f t="shared" si="532"/>
        <v>0</v>
      </c>
      <c r="V1193" s="235"/>
      <c r="W1193" s="232">
        <f t="shared" si="533"/>
        <v>0</v>
      </c>
      <c r="X1193" s="235"/>
      <c r="Y1193" s="235"/>
      <c r="Z1193" s="235"/>
    </row>
    <row r="1194" spans="1:26" hidden="1" outlineLevel="2">
      <c r="A1194" s="164"/>
      <c r="B1194" s="351"/>
      <c r="C1194" s="227"/>
      <c r="D1194" s="228"/>
      <c r="E1194" s="165"/>
      <c r="F1194" s="279"/>
      <c r="G1194" s="166"/>
      <c r="H1194" s="167"/>
      <c r="I1194" s="229"/>
      <c r="J1194" s="229"/>
      <c r="K1194" s="229"/>
      <c r="L1194" s="137"/>
      <c r="M1194" s="351"/>
      <c r="N1194" s="168"/>
      <c r="O1194" s="168"/>
      <c r="P1194" s="231"/>
      <c r="Q1194" s="233"/>
      <c r="R1194" s="233"/>
      <c r="S1194" s="233"/>
      <c r="T1194" s="233"/>
      <c r="U1194" s="233"/>
      <c r="V1194" s="233"/>
      <c r="W1194" s="233"/>
      <c r="X1194" s="233"/>
      <c r="Y1194" s="233"/>
      <c r="Z1194" s="233"/>
    </row>
    <row r="1195" spans="1:26" s="75" customFormat="1" outlineLevel="1" collapsed="1">
      <c r="A1195" s="237"/>
      <c r="B1195" s="238"/>
      <c r="C1195" s="239"/>
      <c r="D1195" s="240"/>
      <c r="E1195" s="241"/>
      <c r="F1195" s="264"/>
      <c r="G1195" s="242"/>
      <c r="H1195" s="243"/>
      <c r="I1195" s="244"/>
      <c r="J1195" s="244"/>
      <c r="K1195" s="244"/>
      <c r="L1195" s="150" t="str">
        <f>CONCATENATE(L1196," ",N1196,M1196," ",L1197," ",N1197,M1197," "," ",L1198," ",N1198,M1198," ",L1199," ",N1199,M1199," ",L1200," ",N1200,M1200," ",L1201," ",N1201,M1201," ",L1202," ",N1202,M1202," ",L1203," ",N1203,M1203)</f>
        <v xml:space="preserve">                </v>
      </c>
      <c r="M1195" s="243"/>
      <c r="N1195" s="243"/>
      <c r="O1195" s="287">
        <f>SUM(O1196:O1203)</f>
        <v>0</v>
      </c>
      <c r="P1195" s="245"/>
      <c r="Q1195" s="246">
        <f>SUM(Q1196:Q1203)</f>
        <v>0</v>
      </c>
      <c r="R1195" s="246">
        <f t="shared" ref="R1195:Y1195" si="534">SUM(R1196:R1203)</f>
        <v>0</v>
      </c>
      <c r="S1195" s="246">
        <f t="shared" si="534"/>
        <v>0</v>
      </c>
      <c r="T1195" s="246">
        <f t="shared" si="534"/>
        <v>0</v>
      </c>
      <c r="U1195" s="246">
        <f t="shared" si="534"/>
        <v>0</v>
      </c>
      <c r="V1195" s="246">
        <f t="shared" si="534"/>
        <v>0</v>
      </c>
      <c r="W1195" s="246">
        <f t="shared" si="534"/>
        <v>0</v>
      </c>
      <c r="X1195" s="246">
        <f t="shared" si="534"/>
        <v>0</v>
      </c>
      <c r="Y1195" s="246">
        <f t="shared" si="534"/>
        <v>0</v>
      </c>
      <c r="Z1195" s="246">
        <f>SUM(Z1196:Z1203)</f>
        <v>0</v>
      </c>
    </row>
    <row r="1196" spans="1:26" hidden="1" outlineLevel="2">
      <c r="A1196" s="19"/>
      <c r="B1196" s="38"/>
      <c r="C1196" s="207"/>
      <c r="D1196" s="208"/>
      <c r="E1196" s="133"/>
      <c r="F1196" s="261"/>
      <c r="G1196" s="138"/>
      <c r="H1196" s="135"/>
      <c r="I1196" s="206"/>
      <c r="J1196" s="206"/>
      <c r="K1196" s="206"/>
      <c r="L1196" s="137"/>
      <c r="M1196" s="163"/>
      <c r="N1196" s="163"/>
      <c r="O1196" s="288"/>
      <c r="P1196" s="205"/>
      <c r="Q1196" s="236">
        <f>SUM(R1196,U1196)</f>
        <v>0</v>
      </c>
      <c r="R1196" s="236">
        <f>SUM(S1196:T1196)</f>
        <v>0</v>
      </c>
      <c r="S1196" s="236"/>
      <c r="T1196" s="236"/>
      <c r="U1196" s="236">
        <f>SUM(V1196:Y1196)</f>
        <v>0</v>
      </c>
      <c r="V1196" s="236"/>
      <c r="W1196" s="232">
        <f>V1196*0.304</f>
        <v>0</v>
      </c>
      <c r="X1196" s="236"/>
      <c r="Y1196" s="236"/>
      <c r="Z1196" s="236"/>
    </row>
    <row r="1197" spans="1:26" hidden="1" outlineLevel="2">
      <c r="A1197" s="19"/>
      <c r="B1197" s="38"/>
      <c r="C1197" s="207"/>
      <c r="D1197" s="208"/>
      <c r="E1197" s="133"/>
      <c r="F1197" s="261"/>
      <c r="G1197" s="138"/>
      <c r="H1197" s="135"/>
      <c r="I1197" s="206"/>
      <c r="J1197" s="206"/>
      <c r="K1197" s="206"/>
      <c r="L1197" s="137"/>
      <c r="M1197" s="163"/>
      <c r="N1197" s="163"/>
      <c r="O1197" s="288"/>
      <c r="P1197" s="205"/>
      <c r="Q1197" s="236">
        <f t="shared" ref="Q1197:Q1203" si="535">SUM(R1197,U1197)</f>
        <v>0</v>
      </c>
      <c r="R1197" s="236">
        <f t="shared" ref="R1197:R1202" si="536">SUM(S1197:T1197)</f>
        <v>0</v>
      </c>
      <c r="S1197" s="236"/>
      <c r="T1197" s="236"/>
      <c r="U1197" s="236">
        <f t="shared" ref="U1197:U1203" si="537">SUM(V1197:Y1197)</f>
        <v>0</v>
      </c>
      <c r="V1197" s="236"/>
      <c r="W1197" s="232">
        <f t="shared" ref="W1197:W1203" si="538">V1197*0.304</f>
        <v>0</v>
      </c>
      <c r="X1197" s="236"/>
      <c r="Y1197" s="236"/>
      <c r="Z1197" s="236"/>
    </row>
    <row r="1198" spans="1:26" hidden="1" outlineLevel="2">
      <c r="A1198" s="19"/>
      <c r="B1198" s="38"/>
      <c r="C1198" s="207"/>
      <c r="D1198" s="208"/>
      <c r="E1198" s="133"/>
      <c r="F1198" s="261"/>
      <c r="G1198" s="138"/>
      <c r="H1198" s="135"/>
      <c r="I1198" s="206"/>
      <c r="J1198" s="206"/>
      <c r="K1198" s="206"/>
      <c r="L1198" s="137"/>
      <c r="M1198" s="163"/>
      <c r="N1198" s="163"/>
      <c r="O1198" s="288"/>
      <c r="P1198" s="205"/>
      <c r="Q1198" s="236">
        <f t="shared" si="535"/>
        <v>0</v>
      </c>
      <c r="R1198" s="236">
        <f t="shared" si="536"/>
        <v>0</v>
      </c>
      <c r="S1198" s="236"/>
      <c r="T1198" s="236"/>
      <c r="U1198" s="236">
        <f t="shared" si="537"/>
        <v>0</v>
      </c>
      <c r="V1198" s="236"/>
      <c r="W1198" s="232">
        <f t="shared" si="538"/>
        <v>0</v>
      </c>
      <c r="X1198" s="236"/>
      <c r="Y1198" s="236"/>
      <c r="Z1198" s="236"/>
    </row>
    <row r="1199" spans="1:26" hidden="1" outlineLevel="2">
      <c r="A1199" s="19"/>
      <c r="B1199" s="38"/>
      <c r="C1199" s="207"/>
      <c r="D1199" s="208"/>
      <c r="E1199" s="133"/>
      <c r="F1199" s="261"/>
      <c r="G1199" s="138"/>
      <c r="H1199" s="135"/>
      <c r="I1199" s="206"/>
      <c r="J1199" s="206"/>
      <c r="K1199" s="206"/>
      <c r="L1199" s="137"/>
      <c r="M1199" s="163"/>
      <c r="N1199" s="163"/>
      <c r="O1199" s="288"/>
      <c r="P1199" s="205"/>
      <c r="Q1199" s="236">
        <f t="shared" si="535"/>
        <v>0</v>
      </c>
      <c r="R1199" s="236">
        <f t="shared" si="536"/>
        <v>0</v>
      </c>
      <c r="S1199" s="236"/>
      <c r="T1199" s="236"/>
      <c r="U1199" s="236">
        <f t="shared" si="537"/>
        <v>0</v>
      </c>
      <c r="V1199" s="236"/>
      <c r="W1199" s="232">
        <f t="shared" si="538"/>
        <v>0</v>
      </c>
      <c r="X1199" s="236"/>
      <c r="Y1199" s="236"/>
      <c r="Z1199" s="236"/>
    </row>
    <row r="1200" spans="1:26" hidden="1" outlineLevel="2">
      <c r="A1200" s="19"/>
      <c r="B1200" s="38"/>
      <c r="C1200" s="207"/>
      <c r="D1200" s="208"/>
      <c r="E1200" s="133"/>
      <c r="F1200" s="261"/>
      <c r="G1200" s="138"/>
      <c r="H1200" s="135"/>
      <c r="I1200" s="206"/>
      <c r="J1200" s="206"/>
      <c r="K1200" s="206"/>
      <c r="L1200" s="137"/>
      <c r="M1200" s="163"/>
      <c r="N1200" s="163"/>
      <c r="O1200" s="288"/>
      <c r="P1200" s="205"/>
      <c r="Q1200" s="236">
        <f t="shared" si="535"/>
        <v>0</v>
      </c>
      <c r="R1200" s="236">
        <f t="shared" si="536"/>
        <v>0</v>
      </c>
      <c r="S1200" s="236"/>
      <c r="T1200" s="236"/>
      <c r="U1200" s="236">
        <f t="shared" si="537"/>
        <v>0</v>
      </c>
      <c r="V1200" s="236"/>
      <c r="W1200" s="232">
        <f t="shared" si="538"/>
        <v>0</v>
      </c>
      <c r="X1200" s="236"/>
      <c r="Y1200" s="236"/>
      <c r="Z1200" s="236"/>
    </row>
    <row r="1201" spans="1:26" hidden="1" outlineLevel="2">
      <c r="A1201" s="160"/>
      <c r="B1201" s="38"/>
      <c r="C1201" s="207"/>
      <c r="D1201" s="208"/>
      <c r="E1201" s="133"/>
      <c r="F1201" s="261"/>
      <c r="G1201" s="138"/>
      <c r="H1201" s="139"/>
      <c r="I1201" s="206"/>
      <c r="J1201" s="206"/>
      <c r="K1201" s="206"/>
      <c r="L1201" s="137"/>
      <c r="M1201" s="74"/>
      <c r="N1201" s="74"/>
      <c r="O1201" s="19"/>
      <c r="P1201" s="205"/>
      <c r="Q1201" s="236">
        <f t="shared" si="535"/>
        <v>0</v>
      </c>
      <c r="R1201" s="236">
        <f t="shared" si="536"/>
        <v>0</v>
      </c>
      <c r="S1201" s="235"/>
      <c r="T1201" s="235"/>
      <c r="U1201" s="236">
        <f t="shared" si="537"/>
        <v>0</v>
      </c>
      <c r="V1201" s="235"/>
      <c r="W1201" s="232">
        <f t="shared" si="538"/>
        <v>0</v>
      </c>
      <c r="X1201" s="235"/>
      <c r="Y1201" s="235"/>
      <c r="Z1201" s="235"/>
    </row>
    <row r="1202" spans="1:26" hidden="1" outlineLevel="2">
      <c r="A1202" s="160"/>
      <c r="B1202" s="38"/>
      <c r="C1202" s="207"/>
      <c r="D1202" s="208"/>
      <c r="E1202" s="133"/>
      <c r="F1202" s="261"/>
      <c r="G1202" s="138"/>
      <c r="H1202" s="139"/>
      <c r="I1202" s="206"/>
      <c r="J1202" s="206"/>
      <c r="K1202" s="206"/>
      <c r="L1202" s="137"/>
      <c r="M1202" s="74"/>
      <c r="N1202" s="19"/>
      <c r="O1202" s="19"/>
      <c r="P1202" s="205"/>
      <c r="Q1202" s="236">
        <f t="shared" si="535"/>
        <v>0</v>
      </c>
      <c r="R1202" s="236">
        <f t="shared" si="536"/>
        <v>0</v>
      </c>
      <c r="S1202" s="235"/>
      <c r="T1202" s="235"/>
      <c r="U1202" s="236">
        <f t="shared" si="537"/>
        <v>0</v>
      </c>
      <c r="V1202" s="235"/>
      <c r="W1202" s="232">
        <f t="shared" si="538"/>
        <v>0</v>
      </c>
      <c r="X1202" s="235"/>
      <c r="Y1202" s="235"/>
      <c r="Z1202" s="235"/>
    </row>
    <row r="1203" spans="1:26" hidden="1" outlineLevel="2">
      <c r="A1203" s="160"/>
      <c r="B1203" s="38"/>
      <c r="C1203" s="207"/>
      <c r="D1203" s="208"/>
      <c r="E1203" s="133"/>
      <c r="F1203" s="261"/>
      <c r="G1203" s="138"/>
      <c r="H1203" s="139"/>
      <c r="I1203" s="206"/>
      <c r="J1203" s="206"/>
      <c r="K1203" s="206"/>
      <c r="L1203" s="137"/>
      <c r="M1203" s="74"/>
      <c r="N1203" s="19"/>
      <c r="O1203" s="19"/>
      <c r="P1203" s="205"/>
      <c r="Q1203" s="236">
        <f t="shared" si="535"/>
        <v>0</v>
      </c>
      <c r="R1203" s="236">
        <f>SUM(S1203:T1203)</f>
        <v>0</v>
      </c>
      <c r="S1203" s="235"/>
      <c r="T1203" s="235"/>
      <c r="U1203" s="236">
        <f t="shared" si="537"/>
        <v>0</v>
      </c>
      <c r="V1203" s="235"/>
      <c r="W1203" s="232">
        <f t="shared" si="538"/>
        <v>0</v>
      </c>
      <c r="X1203" s="235"/>
      <c r="Y1203" s="235"/>
      <c r="Z1203" s="235"/>
    </row>
    <row r="1204" spans="1:26" hidden="1" outlineLevel="2">
      <c r="A1204" s="164"/>
      <c r="B1204" s="351"/>
      <c r="C1204" s="227"/>
      <c r="D1204" s="228"/>
      <c r="E1204" s="165"/>
      <c r="F1204" s="279"/>
      <c r="G1204" s="166"/>
      <c r="H1204" s="167"/>
      <c r="I1204" s="229"/>
      <c r="J1204" s="229"/>
      <c r="K1204" s="229"/>
      <c r="L1204" s="137"/>
      <c r="M1204" s="351"/>
      <c r="N1204" s="168"/>
      <c r="O1204" s="168"/>
      <c r="P1204" s="231"/>
      <c r="Q1204" s="233"/>
      <c r="R1204" s="233"/>
      <c r="S1204" s="233"/>
      <c r="T1204" s="233"/>
      <c r="U1204" s="233"/>
      <c r="V1204" s="233"/>
      <c r="W1204" s="233"/>
      <c r="X1204" s="233"/>
      <c r="Y1204" s="233"/>
      <c r="Z1204" s="233"/>
    </row>
    <row r="1205" spans="1:26" s="75" customFormat="1" outlineLevel="1" collapsed="1">
      <c r="A1205" s="237"/>
      <c r="B1205" s="238"/>
      <c r="C1205" s="239"/>
      <c r="D1205" s="240"/>
      <c r="E1205" s="241"/>
      <c r="F1205" s="264"/>
      <c r="G1205" s="242"/>
      <c r="H1205" s="243"/>
      <c r="I1205" s="244"/>
      <c r="J1205" s="244"/>
      <c r="K1205" s="244"/>
      <c r="L1205" s="150" t="str">
        <f>CONCATENATE(L1206," ",N1206,M1206," ",L1207," ",N1207,M1207," "," ",L1208," ",N1208,M1208," ",L1209," ",N1209,M1209," ",L1210," ",N1210,M1210," ",L1211," ",N1211,M1211," ",L1212," ",N1212,M1212," ",L1213," ",N1213,M1213)</f>
        <v xml:space="preserve">                </v>
      </c>
      <c r="M1205" s="243"/>
      <c r="N1205" s="243"/>
      <c r="O1205" s="287">
        <f>SUM(O1206:O1213)</f>
        <v>0</v>
      </c>
      <c r="P1205" s="245"/>
      <c r="Q1205" s="246">
        <f>SUM(Q1206:Q1213)</f>
        <v>0</v>
      </c>
      <c r="R1205" s="246">
        <f t="shared" ref="R1205:Y1205" si="539">SUM(R1206:R1213)</f>
        <v>0</v>
      </c>
      <c r="S1205" s="246">
        <f t="shared" si="539"/>
        <v>0</v>
      </c>
      <c r="T1205" s="246">
        <f t="shared" si="539"/>
        <v>0</v>
      </c>
      <c r="U1205" s="246">
        <f t="shared" si="539"/>
        <v>0</v>
      </c>
      <c r="V1205" s="246">
        <f t="shared" si="539"/>
        <v>0</v>
      </c>
      <c r="W1205" s="246">
        <f t="shared" si="539"/>
        <v>0</v>
      </c>
      <c r="X1205" s="246">
        <f t="shared" si="539"/>
        <v>0</v>
      </c>
      <c r="Y1205" s="246">
        <f t="shared" si="539"/>
        <v>0</v>
      </c>
      <c r="Z1205" s="246">
        <f>SUM(Z1206:Z1213)</f>
        <v>0</v>
      </c>
    </row>
    <row r="1206" spans="1:26" hidden="1" outlineLevel="2">
      <c r="A1206" s="19"/>
      <c r="B1206" s="38"/>
      <c r="C1206" s="207"/>
      <c r="D1206" s="208"/>
      <c r="E1206" s="133"/>
      <c r="F1206" s="261"/>
      <c r="G1206" s="138"/>
      <c r="H1206" s="135"/>
      <c r="I1206" s="206"/>
      <c r="J1206" s="206"/>
      <c r="K1206" s="206"/>
      <c r="L1206" s="137"/>
      <c r="M1206" s="163"/>
      <c r="N1206" s="163"/>
      <c r="O1206" s="288"/>
      <c r="P1206" s="205"/>
      <c r="Q1206" s="236">
        <f>SUM(R1206,U1206)</f>
        <v>0</v>
      </c>
      <c r="R1206" s="236">
        <f>SUM(S1206:T1206)</f>
        <v>0</v>
      </c>
      <c r="S1206" s="236"/>
      <c r="T1206" s="236"/>
      <c r="U1206" s="236">
        <f>SUM(V1206:Y1206)</f>
        <v>0</v>
      </c>
      <c r="V1206" s="236"/>
      <c r="W1206" s="232">
        <f>V1206*0.304</f>
        <v>0</v>
      </c>
      <c r="X1206" s="236"/>
      <c r="Y1206" s="236"/>
      <c r="Z1206" s="236"/>
    </row>
    <row r="1207" spans="1:26" hidden="1" outlineLevel="2">
      <c r="A1207" s="19"/>
      <c r="B1207" s="38"/>
      <c r="C1207" s="207"/>
      <c r="D1207" s="208"/>
      <c r="E1207" s="133"/>
      <c r="F1207" s="261"/>
      <c r="G1207" s="138"/>
      <c r="H1207" s="135"/>
      <c r="I1207" s="206"/>
      <c r="J1207" s="206"/>
      <c r="K1207" s="206"/>
      <c r="L1207" s="137"/>
      <c r="M1207" s="163"/>
      <c r="N1207" s="163"/>
      <c r="O1207" s="288"/>
      <c r="P1207" s="205"/>
      <c r="Q1207" s="236">
        <f t="shared" ref="Q1207:Q1213" si="540">SUM(R1207,U1207)</f>
        <v>0</v>
      </c>
      <c r="R1207" s="236">
        <f t="shared" ref="R1207:R1212" si="541">SUM(S1207:T1207)</f>
        <v>0</v>
      </c>
      <c r="S1207" s="236"/>
      <c r="T1207" s="236"/>
      <c r="U1207" s="236">
        <f t="shared" ref="U1207:U1213" si="542">SUM(V1207:Y1207)</f>
        <v>0</v>
      </c>
      <c r="V1207" s="236"/>
      <c r="W1207" s="232">
        <f t="shared" ref="W1207:W1213" si="543">V1207*0.304</f>
        <v>0</v>
      </c>
      <c r="X1207" s="236"/>
      <c r="Y1207" s="236"/>
      <c r="Z1207" s="236"/>
    </row>
    <row r="1208" spans="1:26" hidden="1" outlineLevel="2">
      <c r="A1208" s="19"/>
      <c r="B1208" s="38"/>
      <c r="C1208" s="207"/>
      <c r="D1208" s="208"/>
      <c r="E1208" s="133"/>
      <c r="F1208" s="261"/>
      <c r="G1208" s="138"/>
      <c r="H1208" s="135"/>
      <c r="I1208" s="206"/>
      <c r="J1208" s="206"/>
      <c r="K1208" s="206"/>
      <c r="L1208" s="137"/>
      <c r="M1208" s="163"/>
      <c r="N1208" s="163"/>
      <c r="O1208" s="288"/>
      <c r="P1208" s="205"/>
      <c r="Q1208" s="236">
        <f t="shared" si="540"/>
        <v>0</v>
      </c>
      <c r="R1208" s="236">
        <f t="shared" si="541"/>
        <v>0</v>
      </c>
      <c r="S1208" s="236"/>
      <c r="T1208" s="236"/>
      <c r="U1208" s="236">
        <f t="shared" si="542"/>
        <v>0</v>
      </c>
      <c r="V1208" s="236"/>
      <c r="W1208" s="232">
        <f t="shared" si="543"/>
        <v>0</v>
      </c>
      <c r="X1208" s="236"/>
      <c r="Y1208" s="236"/>
      <c r="Z1208" s="236"/>
    </row>
    <row r="1209" spans="1:26" hidden="1" outlineLevel="2">
      <c r="A1209" s="19"/>
      <c r="B1209" s="38"/>
      <c r="C1209" s="207"/>
      <c r="D1209" s="208"/>
      <c r="E1209" s="133"/>
      <c r="F1209" s="261"/>
      <c r="G1209" s="138"/>
      <c r="H1209" s="135"/>
      <c r="I1209" s="206"/>
      <c r="J1209" s="206"/>
      <c r="K1209" s="206"/>
      <c r="L1209" s="137"/>
      <c r="M1209" s="163"/>
      <c r="N1209" s="163"/>
      <c r="O1209" s="288"/>
      <c r="P1209" s="205"/>
      <c r="Q1209" s="236">
        <f t="shared" si="540"/>
        <v>0</v>
      </c>
      <c r="R1209" s="236">
        <f t="shared" si="541"/>
        <v>0</v>
      </c>
      <c r="S1209" s="236"/>
      <c r="T1209" s="236"/>
      <c r="U1209" s="236">
        <f t="shared" si="542"/>
        <v>0</v>
      </c>
      <c r="V1209" s="236"/>
      <c r="W1209" s="232">
        <f t="shared" si="543"/>
        <v>0</v>
      </c>
      <c r="X1209" s="236"/>
      <c r="Y1209" s="236"/>
      <c r="Z1209" s="236"/>
    </row>
    <row r="1210" spans="1:26" hidden="1" outlineLevel="2">
      <c r="A1210" s="19"/>
      <c r="B1210" s="38"/>
      <c r="C1210" s="207"/>
      <c r="D1210" s="208"/>
      <c r="E1210" s="133"/>
      <c r="F1210" s="261"/>
      <c r="G1210" s="138"/>
      <c r="H1210" s="135"/>
      <c r="I1210" s="206"/>
      <c r="J1210" s="206"/>
      <c r="K1210" s="206"/>
      <c r="L1210" s="137"/>
      <c r="M1210" s="163"/>
      <c r="N1210" s="163"/>
      <c r="O1210" s="288"/>
      <c r="P1210" s="205"/>
      <c r="Q1210" s="236">
        <f t="shared" si="540"/>
        <v>0</v>
      </c>
      <c r="R1210" s="236">
        <f t="shared" si="541"/>
        <v>0</v>
      </c>
      <c r="S1210" s="236"/>
      <c r="T1210" s="236"/>
      <c r="U1210" s="236">
        <f t="shared" si="542"/>
        <v>0</v>
      </c>
      <c r="V1210" s="236"/>
      <c r="W1210" s="232">
        <f t="shared" si="543"/>
        <v>0</v>
      </c>
      <c r="X1210" s="236"/>
      <c r="Y1210" s="236"/>
      <c r="Z1210" s="236"/>
    </row>
    <row r="1211" spans="1:26" hidden="1" outlineLevel="2">
      <c r="A1211" s="160"/>
      <c r="B1211" s="38"/>
      <c r="C1211" s="207"/>
      <c r="D1211" s="208"/>
      <c r="E1211" s="133"/>
      <c r="F1211" s="261"/>
      <c r="G1211" s="138"/>
      <c r="H1211" s="139"/>
      <c r="I1211" s="206"/>
      <c r="J1211" s="206"/>
      <c r="K1211" s="206"/>
      <c r="L1211" s="137"/>
      <c r="M1211" s="74"/>
      <c r="N1211" s="74"/>
      <c r="O1211" s="19"/>
      <c r="P1211" s="205"/>
      <c r="Q1211" s="236">
        <f t="shared" si="540"/>
        <v>0</v>
      </c>
      <c r="R1211" s="236">
        <f t="shared" si="541"/>
        <v>0</v>
      </c>
      <c r="S1211" s="235"/>
      <c r="T1211" s="235"/>
      <c r="U1211" s="236">
        <f t="shared" si="542"/>
        <v>0</v>
      </c>
      <c r="V1211" s="235"/>
      <c r="W1211" s="232">
        <f t="shared" si="543"/>
        <v>0</v>
      </c>
      <c r="X1211" s="235"/>
      <c r="Y1211" s="235"/>
      <c r="Z1211" s="235"/>
    </row>
    <row r="1212" spans="1:26" hidden="1" outlineLevel="2">
      <c r="A1212" s="160"/>
      <c r="B1212" s="38"/>
      <c r="C1212" s="207"/>
      <c r="D1212" s="208"/>
      <c r="E1212" s="133"/>
      <c r="F1212" s="261"/>
      <c r="G1212" s="138"/>
      <c r="H1212" s="139"/>
      <c r="I1212" s="206"/>
      <c r="J1212" s="206"/>
      <c r="K1212" s="206"/>
      <c r="L1212" s="137"/>
      <c r="M1212" s="74"/>
      <c r="N1212" s="19"/>
      <c r="O1212" s="19"/>
      <c r="P1212" s="205"/>
      <c r="Q1212" s="236">
        <f t="shared" si="540"/>
        <v>0</v>
      </c>
      <c r="R1212" s="236">
        <f t="shared" si="541"/>
        <v>0</v>
      </c>
      <c r="S1212" s="235"/>
      <c r="T1212" s="235"/>
      <c r="U1212" s="236">
        <f t="shared" si="542"/>
        <v>0</v>
      </c>
      <c r="V1212" s="235"/>
      <c r="W1212" s="232">
        <f t="shared" si="543"/>
        <v>0</v>
      </c>
      <c r="X1212" s="235"/>
      <c r="Y1212" s="235"/>
      <c r="Z1212" s="235"/>
    </row>
    <row r="1213" spans="1:26" hidden="1" outlineLevel="2">
      <c r="A1213" s="160"/>
      <c r="B1213" s="38"/>
      <c r="C1213" s="207"/>
      <c r="D1213" s="208"/>
      <c r="E1213" s="133"/>
      <c r="F1213" s="261"/>
      <c r="G1213" s="138"/>
      <c r="H1213" s="139"/>
      <c r="I1213" s="206"/>
      <c r="J1213" s="206"/>
      <c r="K1213" s="206"/>
      <c r="L1213" s="137"/>
      <c r="M1213" s="74"/>
      <c r="N1213" s="19"/>
      <c r="O1213" s="19"/>
      <c r="P1213" s="205"/>
      <c r="Q1213" s="236">
        <f t="shared" si="540"/>
        <v>0</v>
      </c>
      <c r="R1213" s="236">
        <f>SUM(S1213:T1213)</f>
        <v>0</v>
      </c>
      <c r="S1213" s="235"/>
      <c r="T1213" s="235"/>
      <c r="U1213" s="236">
        <f t="shared" si="542"/>
        <v>0</v>
      </c>
      <c r="V1213" s="235"/>
      <c r="W1213" s="232">
        <f t="shared" si="543"/>
        <v>0</v>
      </c>
      <c r="X1213" s="235"/>
      <c r="Y1213" s="235"/>
      <c r="Z1213" s="235"/>
    </row>
    <row r="1214" spans="1:26" hidden="1" outlineLevel="2">
      <c r="A1214" s="164"/>
      <c r="B1214" s="351"/>
      <c r="C1214" s="227"/>
      <c r="D1214" s="228"/>
      <c r="E1214" s="165"/>
      <c r="F1214" s="279"/>
      <c r="G1214" s="166"/>
      <c r="H1214" s="167"/>
      <c r="I1214" s="229"/>
      <c r="J1214" s="229"/>
      <c r="K1214" s="229"/>
      <c r="L1214" s="137"/>
      <c r="M1214" s="351"/>
      <c r="N1214" s="168"/>
      <c r="O1214" s="168"/>
      <c r="P1214" s="231"/>
      <c r="Q1214" s="233"/>
      <c r="R1214" s="233"/>
      <c r="S1214" s="233"/>
      <c r="T1214" s="233"/>
      <c r="U1214" s="233"/>
      <c r="V1214" s="233"/>
      <c r="W1214" s="233"/>
      <c r="X1214" s="233"/>
      <c r="Y1214" s="233"/>
      <c r="Z1214" s="233"/>
    </row>
    <row r="1215" spans="1:26" s="75" customFormat="1" outlineLevel="1" collapsed="1">
      <c r="A1215" s="237"/>
      <c r="B1215" s="238"/>
      <c r="C1215" s="239"/>
      <c r="D1215" s="240"/>
      <c r="E1215" s="241"/>
      <c r="F1215" s="264"/>
      <c r="G1215" s="242"/>
      <c r="H1215" s="243"/>
      <c r="I1215" s="244"/>
      <c r="J1215" s="244"/>
      <c r="K1215" s="244"/>
      <c r="L1215" s="150" t="str">
        <f>CONCATENATE(L1216," ",N1216,M1216," ",L1217," ",N1217,M1217," "," ",L1218," ",N1218,M1218," ",L1219," ",N1219,M1219," ",L1220," ",N1220,M1220," ",L1221," ",N1221,M1221," ",L1222," ",N1222,M1222," ",L1223," ",N1223,M1223)</f>
        <v xml:space="preserve">                </v>
      </c>
      <c r="M1215" s="243"/>
      <c r="N1215" s="243"/>
      <c r="O1215" s="287">
        <f>SUM(O1216:O1223)</f>
        <v>0</v>
      </c>
      <c r="P1215" s="245"/>
      <c r="Q1215" s="246">
        <f>SUM(Q1216:Q1223)</f>
        <v>0</v>
      </c>
      <c r="R1215" s="246">
        <f t="shared" ref="R1215:Y1215" si="544">SUM(R1216:R1223)</f>
        <v>0</v>
      </c>
      <c r="S1215" s="246">
        <f t="shared" si="544"/>
        <v>0</v>
      </c>
      <c r="T1215" s="246">
        <f t="shared" si="544"/>
        <v>0</v>
      </c>
      <c r="U1215" s="246">
        <f t="shared" si="544"/>
        <v>0</v>
      </c>
      <c r="V1215" s="246">
        <f t="shared" si="544"/>
        <v>0</v>
      </c>
      <c r="W1215" s="246">
        <f t="shared" si="544"/>
        <v>0</v>
      </c>
      <c r="X1215" s="246">
        <f t="shared" si="544"/>
        <v>0</v>
      </c>
      <c r="Y1215" s="246">
        <f t="shared" si="544"/>
        <v>0</v>
      </c>
      <c r="Z1215" s="246">
        <f>SUM(Z1216:Z1223)</f>
        <v>0</v>
      </c>
    </row>
    <row r="1216" spans="1:26" hidden="1" outlineLevel="2">
      <c r="A1216" s="19"/>
      <c r="B1216" s="38"/>
      <c r="C1216" s="207"/>
      <c r="D1216" s="208"/>
      <c r="E1216" s="133"/>
      <c r="F1216" s="261"/>
      <c r="G1216" s="138"/>
      <c r="H1216" s="135"/>
      <c r="I1216" s="206"/>
      <c r="J1216" s="206"/>
      <c r="K1216" s="206"/>
      <c r="L1216" s="137"/>
      <c r="M1216" s="163"/>
      <c r="N1216" s="163"/>
      <c r="O1216" s="288"/>
      <c r="P1216" s="205"/>
      <c r="Q1216" s="236">
        <f>SUM(R1216,U1216)</f>
        <v>0</v>
      </c>
      <c r="R1216" s="236">
        <f>SUM(S1216:T1216)</f>
        <v>0</v>
      </c>
      <c r="S1216" s="236"/>
      <c r="T1216" s="236"/>
      <c r="U1216" s="236">
        <f>SUM(V1216:Y1216)</f>
        <v>0</v>
      </c>
      <c r="V1216" s="236"/>
      <c r="W1216" s="232">
        <f>V1216*0.304</f>
        <v>0</v>
      </c>
      <c r="X1216" s="236"/>
      <c r="Y1216" s="236"/>
      <c r="Z1216" s="236"/>
    </row>
    <row r="1217" spans="1:26" hidden="1" outlineLevel="2">
      <c r="A1217" s="19"/>
      <c r="B1217" s="38"/>
      <c r="C1217" s="207"/>
      <c r="D1217" s="208"/>
      <c r="E1217" s="133"/>
      <c r="F1217" s="261"/>
      <c r="G1217" s="138"/>
      <c r="H1217" s="135"/>
      <c r="I1217" s="206"/>
      <c r="J1217" s="206"/>
      <c r="K1217" s="206"/>
      <c r="L1217" s="137"/>
      <c r="M1217" s="163"/>
      <c r="N1217" s="163"/>
      <c r="O1217" s="288"/>
      <c r="P1217" s="205"/>
      <c r="Q1217" s="236">
        <f t="shared" ref="Q1217:Q1223" si="545">SUM(R1217,U1217)</f>
        <v>0</v>
      </c>
      <c r="R1217" s="236">
        <f t="shared" ref="R1217:R1222" si="546">SUM(S1217:T1217)</f>
        <v>0</v>
      </c>
      <c r="S1217" s="236"/>
      <c r="T1217" s="236"/>
      <c r="U1217" s="236">
        <f t="shared" ref="U1217:U1223" si="547">SUM(V1217:Y1217)</f>
        <v>0</v>
      </c>
      <c r="V1217" s="236"/>
      <c r="W1217" s="232">
        <f t="shared" ref="W1217:W1223" si="548">V1217*0.304</f>
        <v>0</v>
      </c>
      <c r="X1217" s="236"/>
      <c r="Y1217" s="236"/>
      <c r="Z1217" s="236"/>
    </row>
    <row r="1218" spans="1:26" hidden="1" outlineLevel="2">
      <c r="A1218" s="19"/>
      <c r="B1218" s="38"/>
      <c r="C1218" s="207"/>
      <c r="D1218" s="208"/>
      <c r="E1218" s="133"/>
      <c r="F1218" s="261"/>
      <c r="G1218" s="138"/>
      <c r="H1218" s="135"/>
      <c r="I1218" s="206"/>
      <c r="J1218" s="206"/>
      <c r="K1218" s="206"/>
      <c r="L1218" s="137"/>
      <c r="M1218" s="163"/>
      <c r="N1218" s="163"/>
      <c r="O1218" s="288"/>
      <c r="P1218" s="205"/>
      <c r="Q1218" s="236">
        <f t="shared" si="545"/>
        <v>0</v>
      </c>
      <c r="R1218" s="236">
        <f t="shared" si="546"/>
        <v>0</v>
      </c>
      <c r="S1218" s="236"/>
      <c r="T1218" s="236"/>
      <c r="U1218" s="236">
        <f t="shared" si="547"/>
        <v>0</v>
      </c>
      <c r="V1218" s="236"/>
      <c r="W1218" s="232">
        <f t="shared" si="548"/>
        <v>0</v>
      </c>
      <c r="X1218" s="236"/>
      <c r="Y1218" s="236"/>
      <c r="Z1218" s="236"/>
    </row>
    <row r="1219" spans="1:26" hidden="1" outlineLevel="2">
      <c r="A1219" s="19"/>
      <c r="B1219" s="38"/>
      <c r="C1219" s="207"/>
      <c r="D1219" s="208"/>
      <c r="E1219" s="133"/>
      <c r="F1219" s="261"/>
      <c r="G1219" s="138"/>
      <c r="H1219" s="135"/>
      <c r="I1219" s="206"/>
      <c r="J1219" s="206"/>
      <c r="K1219" s="206"/>
      <c r="L1219" s="137"/>
      <c r="M1219" s="163"/>
      <c r="N1219" s="163"/>
      <c r="O1219" s="288"/>
      <c r="P1219" s="205"/>
      <c r="Q1219" s="236">
        <f t="shared" si="545"/>
        <v>0</v>
      </c>
      <c r="R1219" s="236">
        <f t="shared" si="546"/>
        <v>0</v>
      </c>
      <c r="S1219" s="236"/>
      <c r="T1219" s="236"/>
      <c r="U1219" s="236">
        <f t="shared" si="547"/>
        <v>0</v>
      </c>
      <c r="V1219" s="236"/>
      <c r="W1219" s="232">
        <f t="shared" si="548"/>
        <v>0</v>
      </c>
      <c r="X1219" s="236"/>
      <c r="Y1219" s="236"/>
      <c r="Z1219" s="236"/>
    </row>
    <row r="1220" spans="1:26" hidden="1" outlineLevel="2">
      <c r="A1220" s="19"/>
      <c r="B1220" s="38"/>
      <c r="C1220" s="207"/>
      <c r="D1220" s="208"/>
      <c r="E1220" s="133"/>
      <c r="F1220" s="261"/>
      <c r="G1220" s="138"/>
      <c r="H1220" s="135"/>
      <c r="I1220" s="206"/>
      <c r="J1220" s="206"/>
      <c r="K1220" s="206"/>
      <c r="L1220" s="137"/>
      <c r="M1220" s="163"/>
      <c r="N1220" s="163"/>
      <c r="O1220" s="288"/>
      <c r="P1220" s="205"/>
      <c r="Q1220" s="236">
        <f t="shared" si="545"/>
        <v>0</v>
      </c>
      <c r="R1220" s="236">
        <f t="shared" si="546"/>
        <v>0</v>
      </c>
      <c r="S1220" s="236"/>
      <c r="T1220" s="236"/>
      <c r="U1220" s="236">
        <f t="shared" si="547"/>
        <v>0</v>
      </c>
      <c r="V1220" s="236"/>
      <c r="W1220" s="232">
        <f t="shared" si="548"/>
        <v>0</v>
      </c>
      <c r="X1220" s="236"/>
      <c r="Y1220" s="236"/>
      <c r="Z1220" s="236"/>
    </row>
    <row r="1221" spans="1:26" hidden="1" outlineLevel="2">
      <c r="A1221" s="160"/>
      <c r="B1221" s="38"/>
      <c r="C1221" s="207"/>
      <c r="D1221" s="208"/>
      <c r="E1221" s="133"/>
      <c r="F1221" s="261"/>
      <c r="G1221" s="138"/>
      <c r="H1221" s="139"/>
      <c r="I1221" s="206"/>
      <c r="J1221" s="206"/>
      <c r="K1221" s="206"/>
      <c r="L1221" s="137"/>
      <c r="M1221" s="74"/>
      <c r="N1221" s="74"/>
      <c r="O1221" s="19"/>
      <c r="P1221" s="205"/>
      <c r="Q1221" s="236">
        <f t="shared" si="545"/>
        <v>0</v>
      </c>
      <c r="R1221" s="236">
        <f t="shared" si="546"/>
        <v>0</v>
      </c>
      <c r="S1221" s="235"/>
      <c r="T1221" s="235"/>
      <c r="U1221" s="236">
        <f t="shared" si="547"/>
        <v>0</v>
      </c>
      <c r="V1221" s="235"/>
      <c r="W1221" s="232">
        <f t="shared" si="548"/>
        <v>0</v>
      </c>
      <c r="X1221" s="235"/>
      <c r="Y1221" s="235"/>
      <c r="Z1221" s="235"/>
    </row>
    <row r="1222" spans="1:26" hidden="1" outlineLevel="2">
      <c r="A1222" s="160"/>
      <c r="B1222" s="38"/>
      <c r="C1222" s="207"/>
      <c r="D1222" s="208"/>
      <c r="E1222" s="133"/>
      <c r="F1222" s="261"/>
      <c r="G1222" s="138"/>
      <c r="H1222" s="139"/>
      <c r="I1222" s="206"/>
      <c r="J1222" s="206"/>
      <c r="K1222" s="206"/>
      <c r="L1222" s="137"/>
      <c r="M1222" s="74"/>
      <c r="N1222" s="19"/>
      <c r="O1222" s="19"/>
      <c r="P1222" s="205"/>
      <c r="Q1222" s="236">
        <f t="shared" si="545"/>
        <v>0</v>
      </c>
      <c r="R1222" s="236">
        <f t="shared" si="546"/>
        <v>0</v>
      </c>
      <c r="S1222" s="235"/>
      <c r="T1222" s="235"/>
      <c r="U1222" s="236">
        <f t="shared" si="547"/>
        <v>0</v>
      </c>
      <c r="V1222" s="235"/>
      <c r="W1222" s="232">
        <f t="shared" si="548"/>
        <v>0</v>
      </c>
      <c r="X1222" s="235"/>
      <c r="Y1222" s="235"/>
      <c r="Z1222" s="235"/>
    </row>
    <row r="1223" spans="1:26" hidden="1" outlineLevel="2">
      <c r="A1223" s="160"/>
      <c r="B1223" s="38"/>
      <c r="C1223" s="207"/>
      <c r="D1223" s="208"/>
      <c r="E1223" s="133"/>
      <c r="F1223" s="261"/>
      <c r="G1223" s="138"/>
      <c r="H1223" s="139"/>
      <c r="I1223" s="206"/>
      <c r="J1223" s="206"/>
      <c r="K1223" s="206"/>
      <c r="L1223" s="137"/>
      <c r="M1223" s="74"/>
      <c r="N1223" s="19"/>
      <c r="O1223" s="19"/>
      <c r="P1223" s="205"/>
      <c r="Q1223" s="236">
        <f t="shared" si="545"/>
        <v>0</v>
      </c>
      <c r="R1223" s="236">
        <f>SUM(S1223:T1223)</f>
        <v>0</v>
      </c>
      <c r="S1223" s="235"/>
      <c r="T1223" s="235"/>
      <c r="U1223" s="236">
        <f t="shared" si="547"/>
        <v>0</v>
      </c>
      <c r="V1223" s="235"/>
      <c r="W1223" s="232">
        <f t="shared" si="548"/>
        <v>0</v>
      </c>
      <c r="X1223" s="235"/>
      <c r="Y1223" s="235"/>
      <c r="Z1223" s="235"/>
    </row>
    <row r="1224" spans="1:26" hidden="1" outlineLevel="2">
      <c r="A1224" s="164"/>
      <c r="B1224" s="351"/>
      <c r="C1224" s="227"/>
      <c r="D1224" s="228"/>
      <c r="E1224" s="165"/>
      <c r="F1224" s="279"/>
      <c r="G1224" s="166"/>
      <c r="H1224" s="167"/>
      <c r="I1224" s="229"/>
      <c r="J1224" s="229"/>
      <c r="K1224" s="229"/>
      <c r="L1224" s="137"/>
      <c r="M1224" s="351"/>
      <c r="N1224" s="168"/>
      <c r="O1224" s="168"/>
      <c r="P1224" s="231"/>
      <c r="Q1224" s="233"/>
      <c r="R1224" s="233"/>
      <c r="S1224" s="233"/>
      <c r="T1224" s="233"/>
      <c r="U1224" s="233"/>
      <c r="V1224" s="233"/>
      <c r="W1224" s="233"/>
      <c r="X1224" s="233"/>
      <c r="Y1224" s="233"/>
      <c r="Z1224" s="233"/>
    </row>
    <row r="1225" spans="1:26" s="75" customFormat="1" ht="15.75" outlineLevel="1" collapsed="1" thickBot="1">
      <c r="A1225" s="237"/>
      <c r="B1225" s="238"/>
      <c r="C1225" s="239"/>
      <c r="D1225" s="240"/>
      <c r="E1225" s="241"/>
      <c r="F1225" s="264"/>
      <c r="G1225" s="242"/>
      <c r="H1225" s="243"/>
      <c r="I1225" s="244"/>
      <c r="J1225" s="244"/>
      <c r="K1225" s="244"/>
      <c r="L1225" s="150" t="str">
        <f>CONCATENATE(L1226," ",N1226,M1226," ",L1227," ",N1227,M1227," "," ",L1228," ",N1228,M1228," ",L1229," ",N1229,M1229," ",L1230," ",N1230,M1230," ",L1231," ",N1231,M1231," ",L1232," ",N1232,M1232," ",L1233," ",N1233,M1233)</f>
        <v xml:space="preserve">                </v>
      </c>
      <c r="M1225" s="243"/>
      <c r="N1225" s="243"/>
      <c r="O1225" s="287">
        <f>SUM(O1226:O1233)</f>
        <v>0</v>
      </c>
      <c r="P1225" s="245"/>
      <c r="Q1225" s="246">
        <f>SUM(Q1226:Q1233)</f>
        <v>0</v>
      </c>
      <c r="R1225" s="246">
        <f t="shared" ref="R1225:Y1225" si="549">SUM(R1226:R1233)</f>
        <v>0</v>
      </c>
      <c r="S1225" s="246">
        <f t="shared" si="549"/>
        <v>0</v>
      </c>
      <c r="T1225" s="246">
        <f t="shared" si="549"/>
        <v>0</v>
      </c>
      <c r="U1225" s="246">
        <f t="shared" si="549"/>
        <v>0</v>
      </c>
      <c r="V1225" s="246">
        <f t="shared" si="549"/>
        <v>0</v>
      </c>
      <c r="W1225" s="246">
        <f t="shared" si="549"/>
        <v>0</v>
      </c>
      <c r="X1225" s="246">
        <f t="shared" si="549"/>
        <v>0</v>
      </c>
      <c r="Y1225" s="246">
        <f t="shared" si="549"/>
        <v>0</v>
      </c>
      <c r="Z1225" s="246">
        <f>SUM(Z1226:Z1233)</f>
        <v>0</v>
      </c>
    </row>
    <row r="1226" spans="1:26" hidden="1" outlineLevel="2">
      <c r="A1226" s="19"/>
      <c r="B1226" s="38"/>
      <c r="C1226" s="207"/>
      <c r="D1226" s="208"/>
      <c r="E1226" s="133"/>
      <c r="F1226" s="261"/>
      <c r="G1226" s="138"/>
      <c r="H1226" s="135"/>
      <c r="I1226" s="206"/>
      <c r="J1226" s="206"/>
      <c r="K1226" s="206"/>
      <c r="L1226" s="137"/>
      <c r="M1226" s="163"/>
      <c r="N1226" s="163"/>
      <c r="O1226" s="288"/>
      <c r="P1226" s="205"/>
      <c r="Q1226" s="236">
        <f>SUM(R1226,U1226)</f>
        <v>0</v>
      </c>
      <c r="R1226" s="236">
        <f>SUM(S1226:T1226)</f>
        <v>0</v>
      </c>
      <c r="S1226" s="236"/>
      <c r="T1226" s="236"/>
      <c r="U1226" s="236">
        <f>SUM(V1226:Y1226)</f>
        <v>0</v>
      </c>
      <c r="V1226" s="236"/>
      <c r="W1226" s="232">
        <f>V1226*0.304</f>
        <v>0</v>
      </c>
      <c r="X1226" s="236"/>
      <c r="Y1226" s="236"/>
      <c r="Z1226" s="236"/>
    </row>
    <row r="1227" spans="1:26" hidden="1" outlineLevel="2">
      <c r="A1227" s="19"/>
      <c r="B1227" s="38"/>
      <c r="C1227" s="207"/>
      <c r="D1227" s="208"/>
      <c r="E1227" s="133"/>
      <c r="F1227" s="261"/>
      <c r="G1227" s="138"/>
      <c r="H1227" s="135"/>
      <c r="I1227" s="206"/>
      <c r="J1227" s="206"/>
      <c r="K1227" s="206"/>
      <c r="L1227" s="137"/>
      <c r="M1227" s="163"/>
      <c r="N1227" s="163"/>
      <c r="O1227" s="288"/>
      <c r="P1227" s="205"/>
      <c r="Q1227" s="236">
        <f t="shared" ref="Q1227:Q1233" si="550">SUM(R1227,U1227)</f>
        <v>0</v>
      </c>
      <c r="R1227" s="236">
        <f t="shared" ref="R1227:R1232" si="551">SUM(S1227:T1227)</f>
        <v>0</v>
      </c>
      <c r="S1227" s="236"/>
      <c r="T1227" s="236"/>
      <c r="U1227" s="236">
        <f t="shared" ref="U1227:U1233" si="552">SUM(V1227:Y1227)</f>
        <v>0</v>
      </c>
      <c r="V1227" s="236"/>
      <c r="W1227" s="232">
        <f t="shared" ref="W1227:W1232" si="553">V1227*0.304</f>
        <v>0</v>
      </c>
      <c r="X1227" s="236"/>
      <c r="Y1227" s="236"/>
      <c r="Z1227" s="236"/>
    </row>
    <row r="1228" spans="1:26" hidden="1" outlineLevel="2">
      <c r="A1228" s="19"/>
      <c r="B1228" s="38"/>
      <c r="C1228" s="207"/>
      <c r="D1228" s="208"/>
      <c r="E1228" s="133"/>
      <c r="F1228" s="261"/>
      <c r="G1228" s="138"/>
      <c r="H1228" s="135"/>
      <c r="I1228" s="206"/>
      <c r="J1228" s="206"/>
      <c r="K1228" s="206"/>
      <c r="L1228" s="137"/>
      <c r="M1228" s="163"/>
      <c r="N1228" s="163"/>
      <c r="O1228" s="288"/>
      <c r="P1228" s="205"/>
      <c r="Q1228" s="236">
        <f t="shared" si="550"/>
        <v>0</v>
      </c>
      <c r="R1228" s="236">
        <f t="shared" si="551"/>
        <v>0</v>
      </c>
      <c r="S1228" s="236"/>
      <c r="T1228" s="236"/>
      <c r="U1228" s="236">
        <f t="shared" si="552"/>
        <v>0</v>
      </c>
      <c r="V1228" s="236"/>
      <c r="W1228" s="232">
        <f t="shared" si="553"/>
        <v>0</v>
      </c>
      <c r="X1228" s="236"/>
      <c r="Y1228" s="236"/>
      <c r="Z1228" s="236"/>
    </row>
    <row r="1229" spans="1:26" hidden="1" outlineLevel="2">
      <c r="A1229" s="19"/>
      <c r="B1229" s="38"/>
      <c r="C1229" s="207"/>
      <c r="D1229" s="208"/>
      <c r="E1229" s="133"/>
      <c r="F1229" s="261"/>
      <c r="G1229" s="138"/>
      <c r="H1229" s="135"/>
      <c r="I1229" s="206"/>
      <c r="J1229" s="206"/>
      <c r="K1229" s="206"/>
      <c r="L1229" s="137"/>
      <c r="M1229" s="163"/>
      <c r="N1229" s="163"/>
      <c r="O1229" s="288"/>
      <c r="P1229" s="205"/>
      <c r="Q1229" s="236">
        <f t="shared" si="550"/>
        <v>0</v>
      </c>
      <c r="R1229" s="236">
        <f t="shared" si="551"/>
        <v>0</v>
      </c>
      <c r="S1229" s="236"/>
      <c r="T1229" s="236"/>
      <c r="U1229" s="236">
        <f t="shared" si="552"/>
        <v>0</v>
      </c>
      <c r="V1229" s="236"/>
      <c r="W1229" s="232">
        <f t="shared" si="553"/>
        <v>0</v>
      </c>
      <c r="X1229" s="236"/>
      <c r="Y1229" s="236"/>
      <c r="Z1229" s="236"/>
    </row>
    <row r="1230" spans="1:26" hidden="1" outlineLevel="2">
      <c r="A1230" s="19"/>
      <c r="B1230" s="38"/>
      <c r="C1230" s="207"/>
      <c r="D1230" s="208"/>
      <c r="E1230" s="133"/>
      <c r="F1230" s="261"/>
      <c r="G1230" s="138"/>
      <c r="H1230" s="135"/>
      <c r="I1230" s="206"/>
      <c r="J1230" s="206"/>
      <c r="K1230" s="206"/>
      <c r="L1230" s="137"/>
      <c r="M1230" s="163"/>
      <c r="N1230" s="163"/>
      <c r="O1230" s="288"/>
      <c r="P1230" s="205"/>
      <c r="Q1230" s="236">
        <f t="shared" si="550"/>
        <v>0</v>
      </c>
      <c r="R1230" s="236">
        <f t="shared" si="551"/>
        <v>0</v>
      </c>
      <c r="S1230" s="236"/>
      <c r="T1230" s="236"/>
      <c r="U1230" s="236">
        <f t="shared" si="552"/>
        <v>0</v>
      </c>
      <c r="V1230" s="236"/>
      <c r="W1230" s="232">
        <f t="shared" si="553"/>
        <v>0</v>
      </c>
      <c r="X1230" s="236"/>
      <c r="Y1230" s="236"/>
      <c r="Z1230" s="236"/>
    </row>
    <row r="1231" spans="1:26" hidden="1" outlineLevel="2">
      <c r="A1231" s="160"/>
      <c r="B1231" s="38"/>
      <c r="C1231" s="207"/>
      <c r="D1231" s="208"/>
      <c r="E1231" s="133"/>
      <c r="F1231" s="261"/>
      <c r="G1231" s="138"/>
      <c r="H1231" s="139"/>
      <c r="I1231" s="206"/>
      <c r="J1231" s="206"/>
      <c r="K1231" s="206"/>
      <c r="L1231" s="137"/>
      <c r="M1231" s="74"/>
      <c r="N1231" s="74"/>
      <c r="O1231" s="19"/>
      <c r="P1231" s="205"/>
      <c r="Q1231" s="236">
        <f t="shared" si="550"/>
        <v>0</v>
      </c>
      <c r="R1231" s="236">
        <f t="shared" si="551"/>
        <v>0</v>
      </c>
      <c r="S1231" s="235"/>
      <c r="T1231" s="235"/>
      <c r="U1231" s="236">
        <f t="shared" si="552"/>
        <v>0</v>
      </c>
      <c r="V1231" s="235"/>
      <c r="W1231" s="232">
        <f t="shared" si="553"/>
        <v>0</v>
      </c>
      <c r="X1231" s="235"/>
      <c r="Y1231" s="235"/>
      <c r="Z1231" s="235"/>
    </row>
    <row r="1232" spans="1:26" hidden="1" outlineLevel="2">
      <c r="A1232" s="160"/>
      <c r="B1232" s="38"/>
      <c r="C1232" s="207"/>
      <c r="D1232" s="208"/>
      <c r="E1232" s="133"/>
      <c r="F1232" s="261"/>
      <c r="G1232" s="138"/>
      <c r="H1232" s="139"/>
      <c r="I1232" s="206"/>
      <c r="J1232" s="206"/>
      <c r="K1232" s="206"/>
      <c r="L1232" s="137"/>
      <c r="M1232" s="74"/>
      <c r="N1232" s="19"/>
      <c r="O1232" s="19"/>
      <c r="P1232" s="205"/>
      <c r="Q1232" s="236">
        <f t="shared" si="550"/>
        <v>0</v>
      </c>
      <c r="R1232" s="236">
        <f t="shared" si="551"/>
        <v>0</v>
      </c>
      <c r="S1232" s="235"/>
      <c r="T1232" s="235"/>
      <c r="U1232" s="236">
        <f t="shared" si="552"/>
        <v>0</v>
      </c>
      <c r="V1232" s="235"/>
      <c r="W1232" s="232">
        <f t="shared" si="553"/>
        <v>0</v>
      </c>
      <c r="X1232" s="235"/>
      <c r="Y1232" s="235"/>
      <c r="Z1232" s="235"/>
    </row>
    <row r="1233" spans="1:26" hidden="1" outlineLevel="2">
      <c r="A1233" s="160"/>
      <c r="B1233" s="38"/>
      <c r="C1233" s="207"/>
      <c r="D1233" s="208"/>
      <c r="E1233" s="133"/>
      <c r="F1233" s="261"/>
      <c r="G1233" s="138"/>
      <c r="H1233" s="139"/>
      <c r="I1233" s="206"/>
      <c r="J1233" s="206"/>
      <c r="K1233" s="206"/>
      <c r="L1233" s="137"/>
      <c r="M1233" s="74"/>
      <c r="N1233" s="19"/>
      <c r="O1233" s="19"/>
      <c r="P1233" s="205"/>
      <c r="Q1233" s="236">
        <f t="shared" si="550"/>
        <v>0</v>
      </c>
      <c r="R1233" s="236">
        <f>SUM(S1233:T1233)</f>
        <v>0</v>
      </c>
      <c r="S1233" s="235"/>
      <c r="T1233" s="235"/>
      <c r="U1233" s="236">
        <f t="shared" si="552"/>
        <v>0</v>
      </c>
      <c r="V1233" s="235"/>
      <c r="W1233" s="232">
        <f>V1233*0.304</f>
        <v>0</v>
      </c>
      <c r="X1233" s="235"/>
      <c r="Y1233" s="235"/>
      <c r="Z1233" s="235"/>
    </row>
    <row r="1234" spans="1:26" ht="15.75" hidden="1" outlineLevel="2" thickBot="1">
      <c r="A1234" s="164"/>
      <c r="B1234" s="351"/>
      <c r="C1234" s="227"/>
      <c r="D1234" s="228"/>
      <c r="E1234" s="165"/>
      <c r="F1234" s="279"/>
      <c r="G1234" s="166"/>
      <c r="H1234" s="167"/>
      <c r="I1234" s="229"/>
      <c r="J1234" s="229"/>
      <c r="K1234" s="229"/>
      <c r="L1234" s="137"/>
      <c r="M1234" s="351"/>
      <c r="N1234" s="168"/>
      <c r="O1234" s="168"/>
      <c r="P1234" s="231"/>
      <c r="Q1234" s="233"/>
      <c r="R1234" s="233"/>
      <c r="S1234" s="233"/>
      <c r="T1234" s="233"/>
      <c r="U1234" s="233"/>
      <c r="V1234" s="233"/>
      <c r="W1234" s="233"/>
      <c r="X1234" s="233"/>
      <c r="Y1234" s="233"/>
      <c r="Z1234" s="233"/>
    </row>
    <row r="1235" spans="1:26" ht="19.5" thickBot="1">
      <c r="A1235" s="621">
        <v>5</v>
      </c>
      <c r="B1235" s="622"/>
      <c r="C1235" s="622"/>
      <c r="D1235" s="622"/>
      <c r="E1235" s="56" t="s">
        <v>56</v>
      </c>
      <c r="F1235" s="278"/>
      <c r="G1235" s="57"/>
      <c r="H1235" s="58"/>
      <c r="I1235" s="68"/>
      <c r="J1235" s="68"/>
      <c r="K1235" s="68"/>
      <c r="L1235" s="68"/>
      <c r="M1235" s="58"/>
      <c r="N1235" s="58"/>
      <c r="O1235" s="68"/>
      <c r="P1235" s="117"/>
      <c r="Q1235" s="60">
        <f t="shared" ref="Q1235:Y1235" si="554">SUM(Q1257:Q1257)</f>
        <v>0</v>
      </c>
      <c r="R1235" s="60">
        <f t="shared" si="554"/>
        <v>0</v>
      </c>
      <c r="S1235" s="60">
        <f t="shared" si="554"/>
        <v>0</v>
      </c>
      <c r="T1235" s="60">
        <f t="shared" si="554"/>
        <v>0</v>
      </c>
      <c r="U1235" s="60">
        <f t="shared" si="554"/>
        <v>0</v>
      </c>
      <c r="V1235" s="60">
        <f t="shared" si="554"/>
        <v>0</v>
      </c>
      <c r="W1235" s="60">
        <f t="shared" si="554"/>
        <v>0</v>
      </c>
      <c r="X1235" s="60">
        <f t="shared" si="554"/>
        <v>0</v>
      </c>
      <c r="Y1235" s="60">
        <f t="shared" si="554"/>
        <v>0</v>
      </c>
      <c r="Z1235" s="257"/>
    </row>
    <row r="1236" spans="1:26" s="75" customFormat="1" ht="26.25" customHeight="1" outlineLevel="1">
      <c r="A1236" s="247"/>
      <c r="B1236" s="254"/>
      <c r="C1236" s="359"/>
      <c r="D1236" s="360"/>
      <c r="E1236" s="251"/>
      <c r="F1236" s="361"/>
      <c r="G1236" s="362"/>
      <c r="H1236" s="363"/>
      <c r="I1236" s="254"/>
      <c r="J1236" s="364"/>
      <c r="K1236" s="364"/>
      <c r="L1236" s="149"/>
      <c r="M1236" s="253"/>
      <c r="N1236" s="253"/>
      <c r="O1236" s="294"/>
      <c r="P1236" s="255"/>
      <c r="Q1236" s="365">
        <f t="shared" ref="Q1236:Q1257" si="555">R1236+U1236</f>
        <v>0</v>
      </c>
      <c r="R1236" s="256"/>
      <c r="S1236" s="256"/>
      <c r="T1236" s="256"/>
      <c r="U1236" s="365">
        <f t="shared" ref="U1236:U1257" si="556">SUM(V1236:Y1236)</f>
        <v>0</v>
      </c>
      <c r="V1236" s="256"/>
      <c r="W1236" s="365">
        <f t="shared" ref="W1236:W1257" si="557">V1236*0.304</f>
        <v>0</v>
      </c>
      <c r="X1236" s="256"/>
      <c r="Y1236" s="256"/>
      <c r="Z1236" s="256"/>
    </row>
    <row r="1237" spans="1:26" s="75" customFormat="1" ht="26.25" customHeight="1" outlineLevel="1">
      <c r="A1237" s="237"/>
      <c r="B1237" s="244"/>
      <c r="C1237" s="353"/>
      <c r="D1237" s="354"/>
      <c r="E1237" s="241"/>
      <c r="F1237" s="355"/>
      <c r="G1237" s="352"/>
      <c r="H1237" s="356"/>
      <c r="I1237" s="244"/>
      <c r="J1237" s="357"/>
      <c r="K1237" s="357"/>
      <c r="L1237" s="150"/>
      <c r="M1237" s="243"/>
      <c r="N1237" s="243"/>
      <c r="O1237" s="287"/>
      <c r="P1237" s="245"/>
      <c r="Q1237" s="358">
        <f t="shared" si="555"/>
        <v>0</v>
      </c>
      <c r="R1237" s="246"/>
      <c r="S1237" s="246"/>
      <c r="T1237" s="246"/>
      <c r="U1237" s="358">
        <f t="shared" si="556"/>
        <v>0</v>
      </c>
      <c r="V1237" s="246"/>
      <c r="W1237" s="358">
        <f t="shared" si="557"/>
        <v>0</v>
      </c>
      <c r="X1237" s="246"/>
      <c r="Y1237" s="246"/>
      <c r="Z1237" s="246"/>
    </row>
    <row r="1238" spans="1:26" s="75" customFormat="1" ht="26.25" customHeight="1" outlineLevel="1">
      <c r="A1238" s="237"/>
      <c r="B1238" s="244"/>
      <c r="C1238" s="353"/>
      <c r="D1238" s="354"/>
      <c r="E1238" s="241"/>
      <c r="F1238" s="355"/>
      <c r="G1238" s="352"/>
      <c r="H1238" s="356"/>
      <c r="I1238" s="244"/>
      <c r="J1238" s="357"/>
      <c r="K1238" s="357"/>
      <c r="L1238" s="150"/>
      <c r="M1238" s="243"/>
      <c r="N1238" s="243"/>
      <c r="O1238" s="287"/>
      <c r="P1238" s="245"/>
      <c r="Q1238" s="358">
        <f t="shared" si="555"/>
        <v>0</v>
      </c>
      <c r="R1238" s="246"/>
      <c r="S1238" s="246"/>
      <c r="T1238" s="246"/>
      <c r="U1238" s="358">
        <f t="shared" si="556"/>
        <v>0</v>
      </c>
      <c r="V1238" s="246"/>
      <c r="W1238" s="358">
        <f t="shared" si="557"/>
        <v>0</v>
      </c>
      <c r="X1238" s="246"/>
      <c r="Y1238" s="246"/>
      <c r="Z1238" s="246"/>
    </row>
    <row r="1239" spans="1:26" s="75" customFormat="1" ht="26.25" customHeight="1" outlineLevel="1">
      <c r="A1239" s="237"/>
      <c r="B1239" s="244"/>
      <c r="C1239" s="353"/>
      <c r="D1239" s="354"/>
      <c r="E1239" s="241"/>
      <c r="F1239" s="355"/>
      <c r="G1239" s="352"/>
      <c r="H1239" s="356"/>
      <c r="I1239" s="244"/>
      <c r="J1239" s="357"/>
      <c r="K1239" s="357"/>
      <c r="L1239" s="150"/>
      <c r="M1239" s="243"/>
      <c r="N1239" s="243"/>
      <c r="O1239" s="287"/>
      <c r="P1239" s="245"/>
      <c r="Q1239" s="358">
        <f t="shared" si="555"/>
        <v>0</v>
      </c>
      <c r="R1239" s="246"/>
      <c r="S1239" s="246"/>
      <c r="T1239" s="246"/>
      <c r="U1239" s="358">
        <f t="shared" si="556"/>
        <v>0</v>
      </c>
      <c r="V1239" s="246"/>
      <c r="W1239" s="358">
        <f t="shared" si="557"/>
        <v>0</v>
      </c>
      <c r="X1239" s="246"/>
      <c r="Y1239" s="246"/>
      <c r="Z1239" s="246"/>
    </row>
    <row r="1240" spans="1:26" s="75" customFormat="1" ht="26.25" customHeight="1" outlineLevel="1">
      <c r="A1240" s="237"/>
      <c r="B1240" s="244"/>
      <c r="C1240" s="353"/>
      <c r="D1240" s="354"/>
      <c r="E1240" s="241"/>
      <c r="F1240" s="355"/>
      <c r="G1240" s="352"/>
      <c r="H1240" s="356"/>
      <c r="I1240" s="244"/>
      <c r="J1240" s="357"/>
      <c r="K1240" s="357"/>
      <c r="L1240" s="150"/>
      <c r="M1240" s="243"/>
      <c r="N1240" s="243"/>
      <c r="O1240" s="287"/>
      <c r="P1240" s="245"/>
      <c r="Q1240" s="358">
        <f t="shared" si="555"/>
        <v>0</v>
      </c>
      <c r="R1240" s="246"/>
      <c r="S1240" s="246"/>
      <c r="T1240" s="246"/>
      <c r="U1240" s="358">
        <f t="shared" si="556"/>
        <v>0</v>
      </c>
      <c r="V1240" s="246"/>
      <c r="W1240" s="358">
        <f t="shared" si="557"/>
        <v>0</v>
      </c>
      <c r="X1240" s="246"/>
      <c r="Y1240" s="246"/>
      <c r="Z1240" s="246"/>
    </row>
    <row r="1241" spans="1:26" s="75" customFormat="1" ht="26.25" customHeight="1" outlineLevel="1">
      <c r="A1241" s="237"/>
      <c r="B1241" s="244"/>
      <c r="C1241" s="353"/>
      <c r="D1241" s="354"/>
      <c r="E1241" s="241"/>
      <c r="F1241" s="355"/>
      <c r="G1241" s="352"/>
      <c r="H1241" s="356"/>
      <c r="I1241" s="244"/>
      <c r="J1241" s="357"/>
      <c r="K1241" s="357"/>
      <c r="L1241" s="150"/>
      <c r="M1241" s="243"/>
      <c r="N1241" s="243"/>
      <c r="O1241" s="287"/>
      <c r="P1241" s="245"/>
      <c r="Q1241" s="358">
        <f t="shared" si="555"/>
        <v>0</v>
      </c>
      <c r="R1241" s="246"/>
      <c r="S1241" s="246"/>
      <c r="T1241" s="246"/>
      <c r="U1241" s="358">
        <f t="shared" si="556"/>
        <v>0</v>
      </c>
      <c r="V1241" s="246"/>
      <c r="W1241" s="358">
        <f t="shared" si="557"/>
        <v>0</v>
      </c>
      <c r="X1241" s="246"/>
      <c r="Y1241" s="246"/>
      <c r="Z1241" s="246"/>
    </row>
    <row r="1242" spans="1:26" s="75" customFormat="1" ht="26.25" customHeight="1" outlineLevel="1">
      <c r="A1242" s="237"/>
      <c r="B1242" s="244"/>
      <c r="C1242" s="353"/>
      <c r="D1242" s="354"/>
      <c r="E1242" s="241"/>
      <c r="F1242" s="355"/>
      <c r="G1242" s="352"/>
      <c r="H1242" s="356"/>
      <c r="I1242" s="244"/>
      <c r="J1242" s="357"/>
      <c r="K1242" s="357"/>
      <c r="L1242" s="150"/>
      <c r="M1242" s="243"/>
      <c r="N1242" s="243"/>
      <c r="O1242" s="287"/>
      <c r="P1242" s="245"/>
      <c r="Q1242" s="358">
        <f t="shared" si="555"/>
        <v>0</v>
      </c>
      <c r="R1242" s="246"/>
      <c r="S1242" s="246"/>
      <c r="T1242" s="246"/>
      <c r="U1242" s="358">
        <f t="shared" si="556"/>
        <v>0</v>
      </c>
      <c r="V1242" s="246"/>
      <c r="W1242" s="358">
        <f t="shared" si="557"/>
        <v>0</v>
      </c>
      <c r="X1242" s="246"/>
      <c r="Y1242" s="246"/>
      <c r="Z1242" s="246"/>
    </row>
    <row r="1243" spans="1:26" s="75" customFormat="1" ht="26.25" customHeight="1" outlineLevel="1">
      <c r="A1243" s="237"/>
      <c r="B1243" s="244"/>
      <c r="C1243" s="353"/>
      <c r="D1243" s="354"/>
      <c r="E1243" s="241"/>
      <c r="F1243" s="355"/>
      <c r="G1243" s="352"/>
      <c r="H1243" s="356"/>
      <c r="I1243" s="244"/>
      <c r="J1243" s="357"/>
      <c r="K1243" s="357"/>
      <c r="L1243" s="150"/>
      <c r="M1243" s="243"/>
      <c r="N1243" s="243"/>
      <c r="O1243" s="287"/>
      <c r="P1243" s="245"/>
      <c r="Q1243" s="358">
        <f t="shared" si="555"/>
        <v>0</v>
      </c>
      <c r="R1243" s="246"/>
      <c r="S1243" s="246"/>
      <c r="T1243" s="246"/>
      <c r="U1243" s="358">
        <f t="shared" si="556"/>
        <v>0</v>
      </c>
      <c r="V1243" s="246"/>
      <c r="W1243" s="358">
        <f t="shared" si="557"/>
        <v>0</v>
      </c>
      <c r="X1243" s="246"/>
      <c r="Y1243" s="246"/>
      <c r="Z1243" s="246"/>
    </row>
    <row r="1244" spans="1:26" s="75" customFormat="1" ht="26.25" customHeight="1" outlineLevel="1">
      <c r="A1244" s="237"/>
      <c r="B1244" s="244"/>
      <c r="C1244" s="353"/>
      <c r="D1244" s="354"/>
      <c r="E1244" s="241"/>
      <c r="F1244" s="355"/>
      <c r="G1244" s="352"/>
      <c r="H1244" s="356"/>
      <c r="I1244" s="244"/>
      <c r="J1244" s="357"/>
      <c r="K1244" s="357"/>
      <c r="L1244" s="150"/>
      <c r="M1244" s="243"/>
      <c r="N1244" s="243"/>
      <c r="O1244" s="287"/>
      <c r="P1244" s="245"/>
      <c r="Q1244" s="358">
        <f t="shared" si="555"/>
        <v>0</v>
      </c>
      <c r="R1244" s="246"/>
      <c r="S1244" s="246"/>
      <c r="T1244" s="246"/>
      <c r="U1244" s="358">
        <f t="shared" si="556"/>
        <v>0</v>
      </c>
      <c r="V1244" s="246"/>
      <c r="W1244" s="358">
        <f t="shared" si="557"/>
        <v>0</v>
      </c>
      <c r="X1244" s="246"/>
      <c r="Y1244" s="246"/>
      <c r="Z1244" s="246"/>
    </row>
    <row r="1245" spans="1:26" s="75" customFormat="1" ht="26.25" customHeight="1" outlineLevel="1">
      <c r="A1245" s="237"/>
      <c r="B1245" s="244"/>
      <c r="C1245" s="353"/>
      <c r="D1245" s="354"/>
      <c r="E1245" s="241"/>
      <c r="F1245" s="355"/>
      <c r="G1245" s="352"/>
      <c r="H1245" s="356"/>
      <c r="I1245" s="244"/>
      <c r="J1245" s="357"/>
      <c r="K1245" s="357"/>
      <c r="L1245" s="150"/>
      <c r="M1245" s="243"/>
      <c r="N1245" s="243"/>
      <c r="O1245" s="287"/>
      <c r="P1245" s="245"/>
      <c r="Q1245" s="358">
        <f t="shared" si="555"/>
        <v>0</v>
      </c>
      <c r="R1245" s="246"/>
      <c r="S1245" s="246"/>
      <c r="T1245" s="246"/>
      <c r="U1245" s="358">
        <f t="shared" si="556"/>
        <v>0</v>
      </c>
      <c r="V1245" s="246"/>
      <c r="W1245" s="358">
        <f t="shared" si="557"/>
        <v>0</v>
      </c>
      <c r="X1245" s="246"/>
      <c r="Y1245" s="246"/>
      <c r="Z1245" s="246"/>
    </row>
    <row r="1246" spans="1:26" s="75" customFormat="1" ht="26.25" customHeight="1" outlineLevel="1">
      <c r="A1246" s="237"/>
      <c r="B1246" s="244"/>
      <c r="C1246" s="353"/>
      <c r="D1246" s="354"/>
      <c r="E1246" s="241"/>
      <c r="F1246" s="355"/>
      <c r="G1246" s="352"/>
      <c r="H1246" s="356"/>
      <c r="I1246" s="244"/>
      <c r="J1246" s="357"/>
      <c r="K1246" s="357"/>
      <c r="L1246" s="150"/>
      <c r="M1246" s="243"/>
      <c r="N1246" s="243"/>
      <c r="O1246" s="287"/>
      <c r="P1246" s="245"/>
      <c r="Q1246" s="358">
        <f t="shared" si="555"/>
        <v>0</v>
      </c>
      <c r="R1246" s="246"/>
      <c r="S1246" s="246"/>
      <c r="T1246" s="246"/>
      <c r="U1246" s="358">
        <f t="shared" si="556"/>
        <v>0</v>
      </c>
      <c r="V1246" s="246"/>
      <c r="W1246" s="358">
        <f t="shared" si="557"/>
        <v>0</v>
      </c>
      <c r="X1246" s="246"/>
      <c r="Y1246" s="246"/>
      <c r="Z1246" s="246"/>
    </row>
    <row r="1247" spans="1:26" s="75" customFormat="1" ht="26.25" customHeight="1" outlineLevel="1">
      <c r="A1247" s="237"/>
      <c r="B1247" s="244"/>
      <c r="C1247" s="353"/>
      <c r="D1247" s="354"/>
      <c r="E1247" s="241"/>
      <c r="F1247" s="355"/>
      <c r="G1247" s="352"/>
      <c r="H1247" s="356"/>
      <c r="I1247" s="244"/>
      <c r="J1247" s="357"/>
      <c r="K1247" s="357"/>
      <c r="L1247" s="150"/>
      <c r="M1247" s="243"/>
      <c r="N1247" s="243"/>
      <c r="O1247" s="287"/>
      <c r="P1247" s="245"/>
      <c r="Q1247" s="358">
        <f t="shared" si="555"/>
        <v>0</v>
      </c>
      <c r="R1247" s="246"/>
      <c r="S1247" s="246"/>
      <c r="T1247" s="246"/>
      <c r="U1247" s="358">
        <f t="shared" si="556"/>
        <v>0</v>
      </c>
      <c r="V1247" s="246"/>
      <c r="W1247" s="358">
        <f t="shared" si="557"/>
        <v>0</v>
      </c>
      <c r="X1247" s="246"/>
      <c r="Y1247" s="246"/>
      <c r="Z1247" s="246"/>
    </row>
    <row r="1248" spans="1:26" s="75" customFormat="1" ht="26.25" customHeight="1" outlineLevel="1">
      <c r="A1248" s="237"/>
      <c r="B1248" s="244"/>
      <c r="C1248" s="353"/>
      <c r="D1248" s="354"/>
      <c r="E1248" s="241"/>
      <c r="F1248" s="355"/>
      <c r="G1248" s="352"/>
      <c r="H1248" s="356"/>
      <c r="I1248" s="244"/>
      <c r="J1248" s="357"/>
      <c r="K1248" s="357"/>
      <c r="L1248" s="150"/>
      <c r="M1248" s="243"/>
      <c r="N1248" s="243"/>
      <c r="O1248" s="287"/>
      <c r="P1248" s="245"/>
      <c r="Q1248" s="358">
        <f t="shared" si="555"/>
        <v>0</v>
      </c>
      <c r="R1248" s="246"/>
      <c r="S1248" s="246"/>
      <c r="T1248" s="246"/>
      <c r="U1248" s="358">
        <f t="shared" si="556"/>
        <v>0</v>
      </c>
      <c r="V1248" s="246"/>
      <c r="W1248" s="358">
        <f t="shared" si="557"/>
        <v>0</v>
      </c>
      <c r="X1248" s="246"/>
      <c r="Y1248" s="246"/>
      <c r="Z1248" s="246"/>
    </row>
    <row r="1249" spans="1:26" s="75" customFormat="1" ht="26.25" customHeight="1" outlineLevel="1">
      <c r="A1249" s="237"/>
      <c r="B1249" s="244"/>
      <c r="C1249" s="353"/>
      <c r="D1249" s="354"/>
      <c r="E1249" s="241"/>
      <c r="F1249" s="355"/>
      <c r="G1249" s="352"/>
      <c r="H1249" s="356"/>
      <c r="I1249" s="244"/>
      <c r="J1249" s="357"/>
      <c r="K1249" s="357"/>
      <c r="L1249" s="150"/>
      <c r="M1249" s="243"/>
      <c r="N1249" s="243"/>
      <c r="O1249" s="287"/>
      <c r="P1249" s="245"/>
      <c r="Q1249" s="358">
        <f t="shared" si="555"/>
        <v>0</v>
      </c>
      <c r="R1249" s="246"/>
      <c r="S1249" s="246"/>
      <c r="T1249" s="246"/>
      <c r="U1249" s="358">
        <f t="shared" si="556"/>
        <v>0</v>
      </c>
      <c r="V1249" s="246"/>
      <c r="W1249" s="358">
        <f t="shared" si="557"/>
        <v>0</v>
      </c>
      <c r="X1249" s="246"/>
      <c r="Y1249" s="246"/>
      <c r="Z1249" s="246"/>
    </row>
    <row r="1250" spans="1:26" s="75" customFormat="1" ht="26.25" customHeight="1" outlineLevel="1">
      <c r="A1250" s="237"/>
      <c r="B1250" s="244"/>
      <c r="C1250" s="353"/>
      <c r="D1250" s="354"/>
      <c r="E1250" s="241"/>
      <c r="F1250" s="355"/>
      <c r="G1250" s="352"/>
      <c r="H1250" s="356"/>
      <c r="I1250" s="244"/>
      <c r="J1250" s="357"/>
      <c r="K1250" s="357"/>
      <c r="L1250" s="150"/>
      <c r="M1250" s="243"/>
      <c r="N1250" s="243"/>
      <c r="O1250" s="287"/>
      <c r="P1250" s="245"/>
      <c r="Q1250" s="358">
        <f t="shared" si="555"/>
        <v>0</v>
      </c>
      <c r="R1250" s="246"/>
      <c r="S1250" s="246"/>
      <c r="T1250" s="246"/>
      <c r="U1250" s="358">
        <f t="shared" si="556"/>
        <v>0</v>
      </c>
      <c r="V1250" s="246"/>
      <c r="W1250" s="358">
        <f t="shared" si="557"/>
        <v>0</v>
      </c>
      <c r="X1250" s="246"/>
      <c r="Y1250" s="246"/>
      <c r="Z1250" s="246"/>
    </row>
    <row r="1251" spans="1:26" s="75" customFormat="1" ht="26.25" customHeight="1" outlineLevel="1">
      <c r="A1251" s="237"/>
      <c r="B1251" s="244"/>
      <c r="C1251" s="353"/>
      <c r="D1251" s="354"/>
      <c r="E1251" s="241"/>
      <c r="F1251" s="355"/>
      <c r="G1251" s="352"/>
      <c r="H1251" s="356"/>
      <c r="I1251" s="244"/>
      <c r="J1251" s="357"/>
      <c r="K1251" s="357"/>
      <c r="L1251" s="150"/>
      <c r="M1251" s="243"/>
      <c r="N1251" s="243"/>
      <c r="O1251" s="287"/>
      <c r="P1251" s="245"/>
      <c r="Q1251" s="358">
        <f t="shared" si="555"/>
        <v>0</v>
      </c>
      <c r="R1251" s="246"/>
      <c r="S1251" s="246"/>
      <c r="T1251" s="246"/>
      <c r="U1251" s="358">
        <f t="shared" si="556"/>
        <v>0</v>
      </c>
      <c r="V1251" s="246"/>
      <c r="W1251" s="358">
        <f t="shared" si="557"/>
        <v>0</v>
      </c>
      <c r="X1251" s="246"/>
      <c r="Y1251" s="246"/>
      <c r="Z1251" s="246"/>
    </row>
    <row r="1252" spans="1:26" s="75" customFormat="1" ht="26.25" customHeight="1" outlineLevel="1">
      <c r="A1252" s="237"/>
      <c r="B1252" s="244"/>
      <c r="C1252" s="353"/>
      <c r="D1252" s="354"/>
      <c r="E1252" s="241"/>
      <c r="F1252" s="355"/>
      <c r="G1252" s="352"/>
      <c r="H1252" s="356"/>
      <c r="I1252" s="244"/>
      <c r="J1252" s="357"/>
      <c r="K1252" s="357"/>
      <c r="L1252" s="150"/>
      <c r="M1252" s="243"/>
      <c r="N1252" s="243"/>
      <c r="O1252" s="287"/>
      <c r="P1252" s="245"/>
      <c r="Q1252" s="358">
        <f t="shared" si="555"/>
        <v>0</v>
      </c>
      <c r="R1252" s="246"/>
      <c r="S1252" s="246"/>
      <c r="T1252" s="246"/>
      <c r="U1252" s="358">
        <f t="shared" si="556"/>
        <v>0</v>
      </c>
      <c r="V1252" s="246"/>
      <c r="W1252" s="358">
        <f t="shared" si="557"/>
        <v>0</v>
      </c>
      <c r="X1252" s="246"/>
      <c r="Y1252" s="246"/>
      <c r="Z1252" s="246"/>
    </row>
    <row r="1253" spans="1:26" s="75" customFormat="1" ht="26.25" customHeight="1" outlineLevel="1">
      <c r="A1253" s="237"/>
      <c r="B1253" s="244"/>
      <c r="C1253" s="353"/>
      <c r="D1253" s="354"/>
      <c r="E1253" s="241"/>
      <c r="F1253" s="355"/>
      <c r="G1253" s="352"/>
      <c r="H1253" s="356"/>
      <c r="I1253" s="244"/>
      <c r="J1253" s="357"/>
      <c r="K1253" s="357"/>
      <c r="L1253" s="150"/>
      <c r="M1253" s="243"/>
      <c r="N1253" s="243"/>
      <c r="O1253" s="287"/>
      <c r="P1253" s="245"/>
      <c r="Q1253" s="358">
        <f t="shared" si="555"/>
        <v>0</v>
      </c>
      <c r="R1253" s="246"/>
      <c r="S1253" s="246"/>
      <c r="T1253" s="246"/>
      <c r="U1253" s="358">
        <f t="shared" si="556"/>
        <v>0</v>
      </c>
      <c r="V1253" s="246"/>
      <c r="W1253" s="358">
        <f t="shared" si="557"/>
        <v>0</v>
      </c>
      <c r="X1253" s="246"/>
      <c r="Y1253" s="246"/>
      <c r="Z1253" s="246"/>
    </row>
    <row r="1254" spans="1:26" s="75" customFormat="1" ht="26.25" customHeight="1" outlineLevel="1">
      <c r="A1254" s="237"/>
      <c r="B1254" s="244"/>
      <c r="C1254" s="353"/>
      <c r="D1254" s="354"/>
      <c r="E1254" s="241"/>
      <c r="F1254" s="355"/>
      <c r="G1254" s="352"/>
      <c r="H1254" s="356"/>
      <c r="I1254" s="244"/>
      <c r="J1254" s="357"/>
      <c r="K1254" s="357"/>
      <c r="L1254" s="150"/>
      <c r="M1254" s="243"/>
      <c r="N1254" s="243"/>
      <c r="O1254" s="287"/>
      <c r="P1254" s="245"/>
      <c r="Q1254" s="358">
        <f t="shared" si="555"/>
        <v>0</v>
      </c>
      <c r="R1254" s="246"/>
      <c r="S1254" s="246"/>
      <c r="T1254" s="246"/>
      <c r="U1254" s="358">
        <f t="shared" si="556"/>
        <v>0</v>
      </c>
      <c r="V1254" s="246"/>
      <c r="W1254" s="358">
        <f t="shared" si="557"/>
        <v>0</v>
      </c>
      <c r="X1254" s="246"/>
      <c r="Y1254" s="246"/>
      <c r="Z1254" s="246"/>
    </row>
    <row r="1255" spans="1:26" s="75" customFormat="1" ht="26.25" customHeight="1" outlineLevel="1">
      <c r="A1255" s="237"/>
      <c r="B1255" s="244"/>
      <c r="C1255" s="353"/>
      <c r="D1255" s="354"/>
      <c r="E1255" s="241"/>
      <c r="F1255" s="355"/>
      <c r="G1255" s="352"/>
      <c r="H1255" s="356"/>
      <c r="I1255" s="244"/>
      <c r="J1255" s="357"/>
      <c r="K1255" s="357"/>
      <c r="L1255" s="150"/>
      <c r="M1255" s="243"/>
      <c r="N1255" s="243"/>
      <c r="O1255" s="287"/>
      <c r="P1255" s="245"/>
      <c r="Q1255" s="358">
        <f t="shared" si="555"/>
        <v>0</v>
      </c>
      <c r="R1255" s="246"/>
      <c r="S1255" s="246"/>
      <c r="T1255" s="246"/>
      <c r="U1255" s="358">
        <f t="shared" si="556"/>
        <v>0</v>
      </c>
      <c r="V1255" s="246"/>
      <c r="W1255" s="358">
        <f t="shared" si="557"/>
        <v>0</v>
      </c>
      <c r="X1255" s="246"/>
      <c r="Y1255" s="246"/>
      <c r="Z1255" s="246"/>
    </row>
    <row r="1256" spans="1:26" s="75" customFormat="1" ht="26.25" customHeight="1" outlineLevel="1">
      <c r="A1256" s="237"/>
      <c r="B1256" s="244"/>
      <c r="C1256" s="353"/>
      <c r="D1256" s="354"/>
      <c r="E1256" s="241"/>
      <c r="F1256" s="355"/>
      <c r="G1256" s="352"/>
      <c r="H1256" s="356"/>
      <c r="I1256" s="244"/>
      <c r="J1256" s="357"/>
      <c r="K1256" s="357"/>
      <c r="L1256" s="150"/>
      <c r="M1256" s="243"/>
      <c r="N1256" s="243"/>
      <c r="O1256" s="287"/>
      <c r="P1256" s="245"/>
      <c r="Q1256" s="358">
        <f t="shared" si="555"/>
        <v>0</v>
      </c>
      <c r="R1256" s="246"/>
      <c r="S1256" s="246"/>
      <c r="T1256" s="246"/>
      <c r="U1256" s="358">
        <f t="shared" si="556"/>
        <v>0</v>
      </c>
      <c r="V1256" s="246"/>
      <c r="W1256" s="358">
        <f t="shared" si="557"/>
        <v>0</v>
      </c>
      <c r="X1256" s="246"/>
      <c r="Y1256" s="246"/>
      <c r="Z1256" s="246"/>
    </row>
    <row r="1257" spans="1:26" s="75" customFormat="1" ht="26.25" customHeight="1" outlineLevel="1" thickBot="1">
      <c r="A1257" s="237"/>
      <c r="B1257" s="244"/>
      <c r="C1257" s="353"/>
      <c r="D1257" s="354"/>
      <c r="E1257" s="241"/>
      <c r="F1257" s="355"/>
      <c r="G1257" s="352"/>
      <c r="H1257" s="356"/>
      <c r="I1257" s="244"/>
      <c r="J1257" s="357"/>
      <c r="K1257" s="357"/>
      <c r="L1257" s="150"/>
      <c r="M1257" s="243"/>
      <c r="N1257" s="243"/>
      <c r="O1257" s="287"/>
      <c r="P1257" s="245"/>
      <c r="Q1257" s="358">
        <f t="shared" si="555"/>
        <v>0</v>
      </c>
      <c r="R1257" s="246"/>
      <c r="S1257" s="246"/>
      <c r="T1257" s="246"/>
      <c r="U1257" s="358">
        <f t="shared" si="556"/>
        <v>0</v>
      </c>
      <c r="V1257" s="246"/>
      <c r="W1257" s="358">
        <f t="shared" si="557"/>
        <v>0</v>
      </c>
      <c r="X1257" s="246"/>
      <c r="Y1257" s="246"/>
      <c r="Z1257" s="246"/>
    </row>
    <row r="1258" spans="1:26" ht="19.5" thickBot="1">
      <c r="A1258" s="622">
        <v>6</v>
      </c>
      <c r="B1258" s="622"/>
      <c r="C1258" s="622"/>
      <c r="D1258" s="663"/>
      <c r="E1258" s="56" t="s">
        <v>34</v>
      </c>
      <c r="F1258" s="281"/>
      <c r="G1258" s="57"/>
      <c r="H1258" s="58"/>
      <c r="I1258" s="68"/>
      <c r="J1258" s="68"/>
      <c r="K1258" s="68"/>
      <c r="L1258" s="68"/>
      <c r="M1258" s="58"/>
      <c r="N1258" s="58"/>
      <c r="O1258" s="63"/>
      <c r="P1258" s="117"/>
      <c r="Q1258" s="63">
        <v>0</v>
      </c>
      <c r="R1258" s="63">
        <v>0</v>
      </c>
      <c r="S1258" s="63">
        <v>0</v>
      </c>
      <c r="T1258" s="63">
        <v>0</v>
      </c>
      <c r="U1258" s="63">
        <v>0</v>
      </c>
      <c r="V1258" s="63">
        <v>0</v>
      </c>
      <c r="W1258" s="63">
        <v>0</v>
      </c>
      <c r="X1258" s="63">
        <v>0</v>
      </c>
      <c r="Y1258" s="63">
        <v>0</v>
      </c>
      <c r="Z1258" s="63">
        <v>0</v>
      </c>
    </row>
    <row r="1259" spans="1:26" s="75" customFormat="1" outlineLevel="1" collapsed="1">
      <c r="A1259" s="237"/>
      <c r="B1259" s="238"/>
      <c r="C1259" s="239"/>
      <c r="D1259" s="240"/>
      <c r="E1259" s="241"/>
      <c r="F1259" s="264"/>
      <c r="G1259" s="242"/>
      <c r="H1259" s="243"/>
      <c r="I1259" s="244"/>
      <c r="J1259" s="244"/>
      <c r="K1259" s="244"/>
      <c r="L1259" s="150" t="str">
        <f>CONCATENATE(L1260," ",N1260,M1260," ",L1261," ",N1261,M1261," "," ",L1262," ",N1262,M1262," ",L1263," ",N1263,M1263," ",L1264," ",N1264,M1264," ",L1265," ",N1265,M1265," ",L1266," ",N1266,M1266," ",L1267," ",N1267,M1267)</f>
        <v xml:space="preserve">                </v>
      </c>
      <c r="M1259" s="243"/>
      <c r="N1259" s="243"/>
      <c r="O1259" s="287">
        <f>SUM(O1260:O1267)</f>
        <v>0</v>
      </c>
      <c r="P1259" s="245"/>
      <c r="Q1259" s="246">
        <f>SUM(Q1260:Q1267)</f>
        <v>0</v>
      </c>
      <c r="R1259" s="246">
        <f t="shared" ref="R1259:Y1259" si="558">SUM(R1260:R1267)</f>
        <v>0</v>
      </c>
      <c r="S1259" s="246">
        <f t="shared" si="558"/>
        <v>0</v>
      </c>
      <c r="T1259" s="246">
        <f t="shared" si="558"/>
        <v>0</v>
      </c>
      <c r="U1259" s="246">
        <f t="shared" si="558"/>
        <v>0</v>
      </c>
      <c r="V1259" s="246">
        <f t="shared" si="558"/>
        <v>0</v>
      </c>
      <c r="W1259" s="246">
        <f t="shared" si="558"/>
        <v>0</v>
      </c>
      <c r="X1259" s="246">
        <f t="shared" si="558"/>
        <v>0</v>
      </c>
      <c r="Y1259" s="246">
        <f t="shared" si="558"/>
        <v>0</v>
      </c>
      <c r="Z1259" s="246">
        <f>SUM(Z1260:Z1267)</f>
        <v>0</v>
      </c>
    </row>
    <row r="1260" spans="1:26" hidden="1" outlineLevel="2">
      <c r="A1260" s="19"/>
      <c r="B1260" s="38"/>
      <c r="C1260" s="207"/>
      <c r="D1260" s="208"/>
      <c r="E1260" s="133"/>
      <c r="F1260" s="261"/>
      <c r="G1260" s="138"/>
      <c r="H1260" s="135"/>
      <c r="I1260" s="206"/>
      <c r="J1260" s="206"/>
      <c r="K1260" s="206"/>
      <c r="L1260" s="137"/>
      <c r="M1260" s="163"/>
      <c r="N1260" s="163"/>
      <c r="O1260" s="288"/>
      <c r="P1260" s="205"/>
      <c r="Q1260" s="236">
        <f>SUM(R1260,U1260)</f>
        <v>0</v>
      </c>
      <c r="R1260" s="236">
        <f>SUM(S1260:T1260)</f>
        <v>0</v>
      </c>
      <c r="S1260" s="236"/>
      <c r="T1260" s="236"/>
      <c r="U1260" s="236">
        <f>SUM(V1260:Y1260)</f>
        <v>0</v>
      </c>
      <c r="V1260" s="236"/>
      <c r="W1260" s="232">
        <f>V1260*0.304</f>
        <v>0</v>
      </c>
      <c r="X1260" s="236"/>
      <c r="Y1260" s="236"/>
      <c r="Z1260" s="236"/>
    </row>
    <row r="1261" spans="1:26" hidden="1" outlineLevel="2">
      <c r="A1261" s="19"/>
      <c r="B1261" s="38"/>
      <c r="C1261" s="207"/>
      <c r="D1261" s="208"/>
      <c r="E1261" s="133"/>
      <c r="F1261" s="261"/>
      <c r="G1261" s="138"/>
      <c r="H1261" s="135"/>
      <c r="I1261" s="206"/>
      <c r="J1261" s="206"/>
      <c r="K1261" s="206"/>
      <c r="L1261" s="137"/>
      <c r="M1261" s="163"/>
      <c r="N1261" s="163"/>
      <c r="O1261" s="288"/>
      <c r="P1261" s="205"/>
      <c r="Q1261" s="236">
        <f t="shared" ref="Q1261:Q1267" si="559">SUM(R1261,U1261)</f>
        <v>0</v>
      </c>
      <c r="R1261" s="236">
        <f t="shared" ref="R1261:R1266" si="560">SUM(S1261:T1261)</f>
        <v>0</v>
      </c>
      <c r="S1261" s="236"/>
      <c r="T1261" s="236"/>
      <c r="U1261" s="236">
        <f t="shared" ref="U1261:U1267" si="561">SUM(V1261:Y1261)</f>
        <v>0</v>
      </c>
      <c r="V1261" s="236"/>
      <c r="W1261" s="232">
        <f t="shared" ref="W1261:W1267" si="562">V1261*0.304</f>
        <v>0</v>
      </c>
      <c r="X1261" s="236"/>
      <c r="Y1261" s="236"/>
      <c r="Z1261" s="236"/>
    </row>
    <row r="1262" spans="1:26" hidden="1" outlineLevel="2">
      <c r="A1262" s="19"/>
      <c r="B1262" s="38"/>
      <c r="C1262" s="207"/>
      <c r="D1262" s="208"/>
      <c r="E1262" s="133"/>
      <c r="F1262" s="261"/>
      <c r="G1262" s="138"/>
      <c r="H1262" s="135"/>
      <c r="I1262" s="206"/>
      <c r="J1262" s="206"/>
      <c r="K1262" s="206"/>
      <c r="L1262" s="137"/>
      <c r="M1262" s="163"/>
      <c r="N1262" s="163"/>
      <c r="O1262" s="288"/>
      <c r="P1262" s="205"/>
      <c r="Q1262" s="236">
        <f t="shared" si="559"/>
        <v>0</v>
      </c>
      <c r="R1262" s="236">
        <f t="shared" si="560"/>
        <v>0</v>
      </c>
      <c r="S1262" s="236"/>
      <c r="T1262" s="236"/>
      <c r="U1262" s="236">
        <f t="shared" si="561"/>
        <v>0</v>
      </c>
      <c r="V1262" s="236"/>
      <c r="W1262" s="232">
        <f t="shared" si="562"/>
        <v>0</v>
      </c>
      <c r="X1262" s="236"/>
      <c r="Y1262" s="236"/>
      <c r="Z1262" s="236"/>
    </row>
    <row r="1263" spans="1:26" hidden="1" outlineLevel="2">
      <c r="A1263" s="19"/>
      <c r="B1263" s="38"/>
      <c r="C1263" s="207"/>
      <c r="D1263" s="208"/>
      <c r="E1263" s="133"/>
      <c r="F1263" s="261"/>
      <c r="G1263" s="138"/>
      <c r="H1263" s="135"/>
      <c r="I1263" s="206"/>
      <c r="J1263" s="206"/>
      <c r="K1263" s="206"/>
      <c r="L1263" s="137"/>
      <c r="M1263" s="163"/>
      <c r="N1263" s="163"/>
      <c r="O1263" s="288"/>
      <c r="P1263" s="205"/>
      <c r="Q1263" s="236">
        <f t="shared" si="559"/>
        <v>0</v>
      </c>
      <c r="R1263" s="236">
        <f t="shared" si="560"/>
        <v>0</v>
      </c>
      <c r="S1263" s="236"/>
      <c r="T1263" s="236"/>
      <c r="U1263" s="236">
        <f t="shared" si="561"/>
        <v>0</v>
      </c>
      <c r="V1263" s="236"/>
      <c r="W1263" s="232">
        <f t="shared" si="562"/>
        <v>0</v>
      </c>
      <c r="X1263" s="236"/>
      <c r="Y1263" s="236"/>
      <c r="Z1263" s="236"/>
    </row>
    <row r="1264" spans="1:26" hidden="1" outlineLevel="2">
      <c r="A1264" s="19"/>
      <c r="B1264" s="38"/>
      <c r="C1264" s="207"/>
      <c r="D1264" s="208"/>
      <c r="E1264" s="133"/>
      <c r="F1264" s="261"/>
      <c r="G1264" s="138"/>
      <c r="H1264" s="135"/>
      <c r="I1264" s="206"/>
      <c r="J1264" s="206"/>
      <c r="K1264" s="206"/>
      <c r="L1264" s="137"/>
      <c r="M1264" s="163"/>
      <c r="N1264" s="163"/>
      <c r="O1264" s="288"/>
      <c r="P1264" s="205"/>
      <c r="Q1264" s="236">
        <f t="shared" si="559"/>
        <v>0</v>
      </c>
      <c r="R1264" s="236">
        <f t="shared" si="560"/>
        <v>0</v>
      </c>
      <c r="S1264" s="236"/>
      <c r="T1264" s="236"/>
      <c r="U1264" s="236">
        <f t="shared" si="561"/>
        <v>0</v>
      </c>
      <c r="V1264" s="236"/>
      <c r="W1264" s="232">
        <f t="shared" si="562"/>
        <v>0</v>
      </c>
      <c r="X1264" s="236"/>
      <c r="Y1264" s="236"/>
      <c r="Z1264" s="236"/>
    </row>
    <row r="1265" spans="1:26" hidden="1" outlineLevel="2">
      <c r="A1265" s="160"/>
      <c r="B1265" s="38"/>
      <c r="C1265" s="207"/>
      <c r="D1265" s="208"/>
      <c r="E1265" s="133"/>
      <c r="F1265" s="261"/>
      <c r="G1265" s="138"/>
      <c r="H1265" s="139"/>
      <c r="I1265" s="206"/>
      <c r="J1265" s="206"/>
      <c r="K1265" s="206"/>
      <c r="L1265" s="137"/>
      <c r="M1265" s="74"/>
      <c r="N1265" s="74"/>
      <c r="O1265" s="19"/>
      <c r="P1265" s="205"/>
      <c r="Q1265" s="236">
        <f t="shared" si="559"/>
        <v>0</v>
      </c>
      <c r="R1265" s="236">
        <f t="shared" si="560"/>
        <v>0</v>
      </c>
      <c r="S1265" s="235"/>
      <c r="T1265" s="235"/>
      <c r="U1265" s="236">
        <f t="shared" si="561"/>
        <v>0</v>
      </c>
      <c r="V1265" s="235"/>
      <c r="W1265" s="232">
        <f t="shared" si="562"/>
        <v>0</v>
      </c>
      <c r="X1265" s="235"/>
      <c r="Y1265" s="235"/>
      <c r="Z1265" s="235"/>
    </row>
    <row r="1266" spans="1:26" hidden="1" outlineLevel="2">
      <c r="A1266" s="160"/>
      <c r="B1266" s="38"/>
      <c r="C1266" s="207"/>
      <c r="D1266" s="208"/>
      <c r="E1266" s="133"/>
      <c r="F1266" s="261"/>
      <c r="G1266" s="138"/>
      <c r="H1266" s="139"/>
      <c r="I1266" s="206"/>
      <c r="J1266" s="206"/>
      <c r="K1266" s="206"/>
      <c r="L1266" s="137"/>
      <c r="M1266" s="74"/>
      <c r="N1266" s="19"/>
      <c r="O1266" s="19"/>
      <c r="P1266" s="205"/>
      <c r="Q1266" s="236">
        <f t="shared" si="559"/>
        <v>0</v>
      </c>
      <c r="R1266" s="236">
        <f t="shared" si="560"/>
        <v>0</v>
      </c>
      <c r="S1266" s="235"/>
      <c r="T1266" s="235"/>
      <c r="U1266" s="236">
        <f t="shared" si="561"/>
        <v>0</v>
      </c>
      <c r="V1266" s="235"/>
      <c r="W1266" s="232">
        <f t="shared" si="562"/>
        <v>0</v>
      </c>
      <c r="X1266" s="235"/>
      <c r="Y1266" s="235"/>
      <c r="Z1266" s="235"/>
    </row>
    <row r="1267" spans="1:26" hidden="1" outlineLevel="2">
      <c r="A1267" s="160"/>
      <c r="B1267" s="38"/>
      <c r="C1267" s="207"/>
      <c r="D1267" s="208"/>
      <c r="E1267" s="133"/>
      <c r="F1267" s="261"/>
      <c r="G1267" s="138"/>
      <c r="H1267" s="139"/>
      <c r="I1267" s="206"/>
      <c r="J1267" s="206"/>
      <c r="K1267" s="206"/>
      <c r="L1267" s="137"/>
      <c r="M1267" s="74"/>
      <c r="N1267" s="19"/>
      <c r="O1267" s="19"/>
      <c r="P1267" s="205"/>
      <c r="Q1267" s="236">
        <f t="shared" si="559"/>
        <v>0</v>
      </c>
      <c r="R1267" s="236">
        <f>SUM(S1267:T1267)</f>
        <v>0</v>
      </c>
      <c r="S1267" s="235"/>
      <c r="T1267" s="235"/>
      <c r="U1267" s="236">
        <f t="shared" si="561"/>
        <v>0</v>
      </c>
      <c r="V1267" s="235"/>
      <c r="W1267" s="232">
        <f t="shared" si="562"/>
        <v>0</v>
      </c>
      <c r="X1267" s="235"/>
      <c r="Y1267" s="235"/>
      <c r="Z1267" s="235"/>
    </row>
    <row r="1268" spans="1:26" hidden="1" outlineLevel="2">
      <c r="A1268" s="164"/>
      <c r="B1268" s="351"/>
      <c r="C1268" s="227"/>
      <c r="D1268" s="228"/>
      <c r="E1268" s="165"/>
      <c r="F1268" s="279"/>
      <c r="G1268" s="166"/>
      <c r="H1268" s="167"/>
      <c r="I1268" s="229"/>
      <c r="J1268" s="229"/>
      <c r="K1268" s="229"/>
      <c r="L1268" s="137"/>
      <c r="M1268" s="351"/>
      <c r="N1268" s="168"/>
      <c r="O1268" s="168"/>
      <c r="P1268" s="231"/>
      <c r="Q1268" s="233"/>
      <c r="R1268" s="233"/>
      <c r="S1268" s="233"/>
      <c r="T1268" s="233"/>
      <c r="U1268" s="233"/>
      <c r="V1268" s="233"/>
      <c r="W1268" s="233"/>
      <c r="X1268" s="233"/>
      <c r="Y1268" s="233"/>
      <c r="Z1268" s="233"/>
    </row>
    <row r="1269" spans="1:26" s="75" customFormat="1" ht="15.75" outlineLevel="1" collapsed="1" thickBot="1">
      <c r="A1269" s="237"/>
      <c r="B1269" s="238"/>
      <c r="C1269" s="239"/>
      <c r="D1269" s="240"/>
      <c r="E1269" s="241"/>
      <c r="F1269" s="264"/>
      <c r="G1269" s="242"/>
      <c r="H1269" s="243"/>
      <c r="I1269" s="244"/>
      <c r="J1269" s="244"/>
      <c r="K1269" s="244"/>
      <c r="L1269" s="150" t="str">
        <f>CONCATENATE(L1270," ",N1270,M1270," ",L1271," ",N1271,M1271," "," ",L1272," ",N1272,M1272," ",L1273," ",N1273,M1273," ",L1274," ",N1274,M1274," ",L1275," ",N1275,M1275," ",L1276," ",N1276,M1276," ",L1277," ",N1277,M1277)</f>
        <v xml:space="preserve">                </v>
      </c>
      <c r="M1269" s="243"/>
      <c r="N1269" s="243"/>
      <c r="O1269" s="287">
        <f>SUM(O1270:O1277)</f>
        <v>0</v>
      </c>
      <c r="P1269" s="245"/>
      <c r="Q1269" s="246">
        <f>SUM(Q1270:Q1277)</f>
        <v>0</v>
      </c>
      <c r="R1269" s="246">
        <f t="shared" ref="R1269:Y1269" si="563">SUM(R1270:R1277)</f>
        <v>0</v>
      </c>
      <c r="S1269" s="246">
        <f t="shared" si="563"/>
        <v>0</v>
      </c>
      <c r="T1269" s="246">
        <f t="shared" si="563"/>
        <v>0</v>
      </c>
      <c r="U1269" s="246">
        <f t="shared" si="563"/>
        <v>0</v>
      </c>
      <c r="V1269" s="246">
        <f t="shared" si="563"/>
        <v>0</v>
      </c>
      <c r="W1269" s="246">
        <f t="shared" si="563"/>
        <v>0</v>
      </c>
      <c r="X1269" s="246">
        <f t="shared" si="563"/>
        <v>0</v>
      </c>
      <c r="Y1269" s="246">
        <f t="shared" si="563"/>
        <v>0</v>
      </c>
      <c r="Z1269" s="246">
        <f>SUM(Z1270:Z1277)</f>
        <v>0</v>
      </c>
    </row>
    <row r="1270" spans="1:26" hidden="1" outlineLevel="2">
      <c r="A1270" s="19"/>
      <c r="B1270" s="38"/>
      <c r="C1270" s="207"/>
      <c r="D1270" s="208"/>
      <c r="E1270" s="133"/>
      <c r="F1270" s="261"/>
      <c r="G1270" s="138"/>
      <c r="H1270" s="135"/>
      <c r="I1270" s="206"/>
      <c r="J1270" s="206"/>
      <c r="K1270" s="206"/>
      <c r="L1270" s="137"/>
      <c r="M1270" s="163"/>
      <c r="N1270" s="163"/>
      <c r="O1270" s="288"/>
      <c r="P1270" s="205"/>
      <c r="Q1270" s="236">
        <f>SUM(R1270,U1270)</f>
        <v>0</v>
      </c>
      <c r="R1270" s="236">
        <f>SUM(S1270:T1270)</f>
        <v>0</v>
      </c>
      <c r="S1270" s="236"/>
      <c r="T1270" s="236"/>
      <c r="U1270" s="236">
        <f>SUM(V1270:Y1270)</f>
        <v>0</v>
      </c>
      <c r="V1270" s="236"/>
      <c r="W1270" s="232">
        <f>V1270*0.304</f>
        <v>0</v>
      </c>
      <c r="X1270" s="236"/>
      <c r="Y1270" s="236"/>
      <c r="Z1270" s="236"/>
    </row>
    <row r="1271" spans="1:26" hidden="1" outlineLevel="2">
      <c r="A1271" s="19"/>
      <c r="B1271" s="38"/>
      <c r="C1271" s="207"/>
      <c r="D1271" s="208"/>
      <c r="E1271" s="133"/>
      <c r="F1271" s="261"/>
      <c r="G1271" s="138"/>
      <c r="H1271" s="135"/>
      <c r="I1271" s="206"/>
      <c r="J1271" s="206"/>
      <c r="K1271" s="206"/>
      <c r="L1271" s="137"/>
      <c r="M1271" s="163"/>
      <c r="N1271" s="163"/>
      <c r="O1271" s="288"/>
      <c r="P1271" s="205"/>
      <c r="Q1271" s="236">
        <f t="shared" ref="Q1271:Q1277" si="564">SUM(R1271,U1271)</f>
        <v>0</v>
      </c>
      <c r="R1271" s="236">
        <f t="shared" ref="R1271:R1276" si="565">SUM(S1271:T1271)</f>
        <v>0</v>
      </c>
      <c r="S1271" s="236"/>
      <c r="T1271" s="236"/>
      <c r="U1271" s="236">
        <f t="shared" ref="U1271:U1277" si="566">SUM(V1271:Y1271)</f>
        <v>0</v>
      </c>
      <c r="V1271" s="236"/>
      <c r="W1271" s="232">
        <f t="shared" ref="W1271:W1277" si="567">V1271*0.304</f>
        <v>0</v>
      </c>
      <c r="X1271" s="236"/>
      <c r="Y1271" s="236"/>
      <c r="Z1271" s="236"/>
    </row>
    <row r="1272" spans="1:26" hidden="1" outlineLevel="2">
      <c r="A1272" s="19"/>
      <c r="B1272" s="38"/>
      <c r="C1272" s="207"/>
      <c r="D1272" s="208"/>
      <c r="E1272" s="133"/>
      <c r="F1272" s="261"/>
      <c r="G1272" s="138"/>
      <c r="H1272" s="135"/>
      <c r="I1272" s="206"/>
      <c r="J1272" s="206"/>
      <c r="K1272" s="206"/>
      <c r="L1272" s="137"/>
      <c r="M1272" s="163"/>
      <c r="N1272" s="163"/>
      <c r="O1272" s="288"/>
      <c r="P1272" s="205"/>
      <c r="Q1272" s="236">
        <f t="shared" si="564"/>
        <v>0</v>
      </c>
      <c r="R1272" s="236">
        <f t="shared" si="565"/>
        <v>0</v>
      </c>
      <c r="S1272" s="236"/>
      <c r="T1272" s="236"/>
      <c r="U1272" s="236">
        <f t="shared" si="566"/>
        <v>0</v>
      </c>
      <c r="V1272" s="236"/>
      <c r="W1272" s="232">
        <f t="shared" si="567"/>
        <v>0</v>
      </c>
      <c r="X1272" s="236"/>
      <c r="Y1272" s="236"/>
      <c r="Z1272" s="236"/>
    </row>
    <row r="1273" spans="1:26" hidden="1" outlineLevel="2">
      <c r="A1273" s="19"/>
      <c r="B1273" s="38"/>
      <c r="C1273" s="207"/>
      <c r="D1273" s="208"/>
      <c r="E1273" s="133"/>
      <c r="F1273" s="261"/>
      <c r="G1273" s="138"/>
      <c r="H1273" s="135"/>
      <c r="I1273" s="206"/>
      <c r="J1273" s="206"/>
      <c r="K1273" s="206"/>
      <c r="L1273" s="137"/>
      <c r="M1273" s="163"/>
      <c r="N1273" s="163"/>
      <c r="O1273" s="288"/>
      <c r="P1273" s="205"/>
      <c r="Q1273" s="236">
        <f t="shared" si="564"/>
        <v>0</v>
      </c>
      <c r="R1273" s="236">
        <f t="shared" si="565"/>
        <v>0</v>
      </c>
      <c r="S1273" s="236"/>
      <c r="T1273" s="236"/>
      <c r="U1273" s="236">
        <f t="shared" si="566"/>
        <v>0</v>
      </c>
      <c r="V1273" s="236"/>
      <c r="W1273" s="232">
        <f t="shared" si="567"/>
        <v>0</v>
      </c>
      <c r="X1273" s="236"/>
      <c r="Y1273" s="236"/>
      <c r="Z1273" s="236"/>
    </row>
    <row r="1274" spans="1:26" hidden="1" outlineLevel="2">
      <c r="A1274" s="19"/>
      <c r="B1274" s="38"/>
      <c r="C1274" s="207"/>
      <c r="D1274" s="208"/>
      <c r="E1274" s="133"/>
      <c r="F1274" s="261"/>
      <c r="G1274" s="138"/>
      <c r="H1274" s="135"/>
      <c r="I1274" s="206"/>
      <c r="J1274" s="206"/>
      <c r="K1274" s="206"/>
      <c r="L1274" s="137"/>
      <c r="M1274" s="163"/>
      <c r="N1274" s="163"/>
      <c r="O1274" s="288"/>
      <c r="P1274" s="205"/>
      <c r="Q1274" s="236">
        <f t="shared" si="564"/>
        <v>0</v>
      </c>
      <c r="R1274" s="236">
        <f t="shared" si="565"/>
        <v>0</v>
      </c>
      <c r="S1274" s="236"/>
      <c r="T1274" s="236"/>
      <c r="U1274" s="236">
        <f t="shared" si="566"/>
        <v>0</v>
      </c>
      <c r="V1274" s="236"/>
      <c r="W1274" s="232">
        <f t="shared" si="567"/>
        <v>0</v>
      </c>
      <c r="X1274" s="236"/>
      <c r="Y1274" s="236"/>
      <c r="Z1274" s="236"/>
    </row>
    <row r="1275" spans="1:26" hidden="1" outlineLevel="2">
      <c r="A1275" s="160"/>
      <c r="B1275" s="38"/>
      <c r="C1275" s="207"/>
      <c r="D1275" s="208"/>
      <c r="E1275" s="133"/>
      <c r="F1275" s="261"/>
      <c r="G1275" s="138"/>
      <c r="H1275" s="139"/>
      <c r="I1275" s="206"/>
      <c r="J1275" s="206"/>
      <c r="K1275" s="206"/>
      <c r="L1275" s="137"/>
      <c r="M1275" s="74"/>
      <c r="N1275" s="74"/>
      <c r="O1275" s="19"/>
      <c r="P1275" s="205"/>
      <c r="Q1275" s="236">
        <f t="shared" si="564"/>
        <v>0</v>
      </c>
      <c r="R1275" s="236">
        <f t="shared" si="565"/>
        <v>0</v>
      </c>
      <c r="S1275" s="235"/>
      <c r="T1275" s="235"/>
      <c r="U1275" s="236">
        <f t="shared" si="566"/>
        <v>0</v>
      </c>
      <c r="V1275" s="235"/>
      <c r="W1275" s="232">
        <f t="shared" si="567"/>
        <v>0</v>
      </c>
      <c r="X1275" s="235"/>
      <c r="Y1275" s="235"/>
      <c r="Z1275" s="235"/>
    </row>
    <row r="1276" spans="1:26" hidden="1" outlineLevel="2">
      <c r="A1276" s="160"/>
      <c r="B1276" s="38"/>
      <c r="C1276" s="207"/>
      <c r="D1276" s="208"/>
      <c r="E1276" s="133"/>
      <c r="F1276" s="261"/>
      <c r="G1276" s="138"/>
      <c r="H1276" s="139"/>
      <c r="I1276" s="206"/>
      <c r="J1276" s="206"/>
      <c r="K1276" s="206"/>
      <c r="L1276" s="137"/>
      <c r="M1276" s="74"/>
      <c r="N1276" s="19"/>
      <c r="O1276" s="19"/>
      <c r="P1276" s="205"/>
      <c r="Q1276" s="236">
        <f t="shared" si="564"/>
        <v>0</v>
      </c>
      <c r="R1276" s="236">
        <f t="shared" si="565"/>
        <v>0</v>
      </c>
      <c r="S1276" s="235"/>
      <c r="T1276" s="235"/>
      <c r="U1276" s="236">
        <f t="shared" si="566"/>
        <v>0</v>
      </c>
      <c r="V1276" s="235"/>
      <c r="W1276" s="232">
        <f t="shared" si="567"/>
        <v>0</v>
      </c>
      <c r="X1276" s="235"/>
      <c r="Y1276" s="235"/>
      <c r="Z1276" s="235"/>
    </row>
    <row r="1277" spans="1:26" hidden="1" outlineLevel="2">
      <c r="A1277" s="160"/>
      <c r="B1277" s="38"/>
      <c r="C1277" s="207"/>
      <c r="D1277" s="208"/>
      <c r="E1277" s="133"/>
      <c r="F1277" s="261"/>
      <c r="G1277" s="138"/>
      <c r="H1277" s="139"/>
      <c r="I1277" s="206"/>
      <c r="J1277" s="206"/>
      <c r="K1277" s="206"/>
      <c r="L1277" s="137"/>
      <c r="M1277" s="74"/>
      <c r="N1277" s="19"/>
      <c r="O1277" s="19"/>
      <c r="P1277" s="205"/>
      <c r="Q1277" s="236">
        <f t="shared" si="564"/>
        <v>0</v>
      </c>
      <c r="R1277" s="236">
        <f>SUM(S1277:T1277)</f>
        <v>0</v>
      </c>
      <c r="S1277" s="235"/>
      <c r="T1277" s="235"/>
      <c r="U1277" s="236">
        <f t="shared" si="566"/>
        <v>0</v>
      </c>
      <c r="V1277" s="235"/>
      <c r="W1277" s="232">
        <f t="shared" si="567"/>
        <v>0</v>
      </c>
      <c r="X1277" s="235"/>
      <c r="Y1277" s="235"/>
      <c r="Z1277" s="235"/>
    </row>
    <row r="1278" spans="1:26" ht="15.75" hidden="1" outlineLevel="2" thickBot="1">
      <c r="A1278" s="164"/>
      <c r="B1278" s="351"/>
      <c r="C1278" s="227"/>
      <c r="D1278" s="228"/>
      <c r="E1278" s="165"/>
      <c r="F1278" s="279"/>
      <c r="G1278" s="166"/>
      <c r="H1278" s="167"/>
      <c r="I1278" s="229"/>
      <c r="J1278" s="229"/>
      <c r="K1278" s="229"/>
      <c r="L1278" s="367"/>
      <c r="M1278" s="351"/>
      <c r="N1278" s="168"/>
      <c r="O1278" s="168"/>
      <c r="P1278" s="231"/>
      <c r="Q1278" s="233"/>
      <c r="R1278" s="233"/>
      <c r="S1278" s="233"/>
      <c r="T1278" s="233"/>
      <c r="U1278" s="233"/>
      <c r="V1278" s="233"/>
      <c r="W1278" s="233"/>
      <c r="X1278" s="233"/>
      <c r="Y1278" s="233"/>
      <c r="Z1278" s="233"/>
    </row>
    <row r="1279" spans="1:26" ht="20.25" thickBot="1">
      <c r="A1279" s="639">
        <v>7</v>
      </c>
      <c r="B1279" s="640"/>
      <c r="C1279" s="640"/>
      <c r="D1279" s="641"/>
      <c r="E1279" s="368" t="s">
        <v>64</v>
      </c>
      <c r="F1279" s="278"/>
      <c r="G1279" s="57"/>
      <c r="H1279" s="58"/>
      <c r="I1279" s="68"/>
      <c r="J1279" s="369"/>
      <c r="K1279" s="369"/>
      <c r="L1279" s="59"/>
      <c r="M1279" s="58"/>
      <c r="N1279" s="58"/>
      <c r="O1279" s="68"/>
      <c r="P1279" s="117"/>
      <c r="Q1279" s="257">
        <v>0</v>
      </c>
      <c r="R1279" s="257">
        <v>0</v>
      </c>
      <c r="S1279" s="257">
        <v>0</v>
      </c>
      <c r="T1279" s="257">
        <v>0</v>
      </c>
      <c r="U1279" s="257">
        <v>0</v>
      </c>
      <c r="V1279" s="257">
        <v>0</v>
      </c>
      <c r="W1279" s="257">
        <v>0</v>
      </c>
      <c r="X1279" s="257">
        <v>0</v>
      </c>
      <c r="Y1279" s="257">
        <v>0</v>
      </c>
      <c r="Z1279" s="257">
        <v>0</v>
      </c>
    </row>
    <row r="1280" spans="1:26" s="75" customFormat="1" outlineLevel="1" collapsed="1">
      <c r="A1280" s="237"/>
      <c r="B1280" s="238"/>
      <c r="C1280" s="239"/>
      <c r="D1280" s="240"/>
      <c r="E1280" s="241"/>
      <c r="F1280" s="264"/>
      <c r="G1280" s="242"/>
      <c r="H1280" s="243"/>
      <c r="I1280" s="244"/>
      <c r="J1280" s="244"/>
      <c r="K1280" s="244"/>
      <c r="L1280" s="150" t="str">
        <f>CONCATENATE(L1281," ",N1281,M1281," ",L1282," ",N1282,M1282," "," ",L1283," ",N1283,M1283," ",L1284," ",N1284,M1284," ",L1285," ",N1285,M1285," ",L1286," ",N1286,M1286," ",L1287," ",N1287,M1287," ",L1288," ",N1288,M1288)</f>
        <v xml:space="preserve">                </v>
      </c>
      <c r="M1280" s="243"/>
      <c r="N1280" s="243"/>
      <c r="O1280" s="287">
        <f>SUM(O1281:O1288)</f>
        <v>0</v>
      </c>
      <c r="P1280" s="245"/>
      <c r="Q1280" s="246">
        <f>SUM(Q1281:Q1288)</f>
        <v>0</v>
      </c>
      <c r="R1280" s="246">
        <f t="shared" ref="R1280:Y1280" si="568">SUM(R1281:R1288)</f>
        <v>0</v>
      </c>
      <c r="S1280" s="246">
        <f t="shared" si="568"/>
        <v>0</v>
      </c>
      <c r="T1280" s="246">
        <f t="shared" si="568"/>
        <v>0</v>
      </c>
      <c r="U1280" s="246">
        <f t="shared" si="568"/>
        <v>0</v>
      </c>
      <c r="V1280" s="246">
        <f t="shared" si="568"/>
        <v>0</v>
      </c>
      <c r="W1280" s="246">
        <f t="shared" si="568"/>
        <v>0</v>
      </c>
      <c r="X1280" s="246">
        <f t="shared" si="568"/>
        <v>0</v>
      </c>
      <c r="Y1280" s="246">
        <f t="shared" si="568"/>
        <v>0</v>
      </c>
      <c r="Z1280" s="246">
        <f>SUM(Z1281:Z1288)</f>
        <v>0</v>
      </c>
    </row>
    <row r="1281" spans="1:26" hidden="1" outlineLevel="2">
      <c r="A1281" s="19"/>
      <c r="B1281" s="38"/>
      <c r="C1281" s="207"/>
      <c r="D1281" s="208"/>
      <c r="E1281" s="133"/>
      <c r="F1281" s="261"/>
      <c r="G1281" s="138"/>
      <c r="H1281" s="135"/>
      <c r="I1281" s="206"/>
      <c r="J1281" s="206"/>
      <c r="K1281" s="206"/>
      <c r="L1281" s="137"/>
      <c r="M1281" s="163"/>
      <c r="N1281" s="163"/>
      <c r="O1281" s="288"/>
      <c r="P1281" s="205"/>
      <c r="Q1281" s="236">
        <f>SUM(R1281,U1281)</f>
        <v>0</v>
      </c>
      <c r="R1281" s="236">
        <f>SUM(S1281:T1281)</f>
        <v>0</v>
      </c>
      <c r="S1281" s="236"/>
      <c r="T1281" s="236"/>
      <c r="U1281" s="236">
        <f>SUM(V1281:Y1281)</f>
        <v>0</v>
      </c>
      <c r="V1281" s="236"/>
      <c r="W1281" s="232">
        <f>V1281*0.304</f>
        <v>0</v>
      </c>
      <c r="X1281" s="236"/>
      <c r="Y1281" s="236"/>
      <c r="Z1281" s="236"/>
    </row>
    <row r="1282" spans="1:26" hidden="1" outlineLevel="2">
      <c r="A1282" s="19"/>
      <c r="B1282" s="38"/>
      <c r="C1282" s="207"/>
      <c r="D1282" s="208"/>
      <c r="E1282" s="133"/>
      <c r="F1282" s="261"/>
      <c r="G1282" s="138"/>
      <c r="H1282" s="135"/>
      <c r="I1282" s="206"/>
      <c r="J1282" s="206"/>
      <c r="K1282" s="206"/>
      <c r="L1282" s="137"/>
      <c r="M1282" s="163"/>
      <c r="N1282" s="163"/>
      <c r="O1282" s="288"/>
      <c r="P1282" s="205"/>
      <c r="Q1282" s="236">
        <f t="shared" ref="Q1282:Q1288" si="569">SUM(R1282,U1282)</f>
        <v>0</v>
      </c>
      <c r="R1282" s="236">
        <f t="shared" ref="R1282:R1287" si="570">SUM(S1282:T1282)</f>
        <v>0</v>
      </c>
      <c r="S1282" s="236"/>
      <c r="T1282" s="236"/>
      <c r="U1282" s="236">
        <f t="shared" ref="U1282:U1288" si="571">SUM(V1282:Y1282)</f>
        <v>0</v>
      </c>
      <c r="V1282" s="236"/>
      <c r="W1282" s="232">
        <f t="shared" ref="W1282:W1288" si="572">V1282*0.304</f>
        <v>0</v>
      </c>
      <c r="X1282" s="236"/>
      <c r="Y1282" s="236"/>
      <c r="Z1282" s="236"/>
    </row>
    <row r="1283" spans="1:26" hidden="1" outlineLevel="2">
      <c r="A1283" s="19"/>
      <c r="B1283" s="38"/>
      <c r="C1283" s="207"/>
      <c r="D1283" s="208"/>
      <c r="E1283" s="133"/>
      <c r="F1283" s="261"/>
      <c r="G1283" s="138"/>
      <c r="H1283" s="135"/>
      <c r="I1283" s="206"/>
      <c r="J1283" s="206"/>
      <c r="K1283" s="206"/>
      <c r="L1283" s="137"/>
      <c r="M1283" s="163"/>
      <c r="N1283" s="163"/>
      <c r="O1283" s="288"/>
      <c r="P1283" s="205"/>
      <c r="Q1283" s="236">
        <f t="shared" si="569"/>
        <v>0</v>
      </c>
      <c r="R1283" s="236">
        <f t="shared" si="570"/>
        <v>0</v>
      </c>
      <c r="S1283" s="236"/>
      <c r="T1283" s="236"/>
      <c r="U1283" s="236">
        <f t="shared" si="571"/>
        <v>0</v>
      </c>
      <c r="V1283" s="236"/>
      <c r="W1283" s="232">
        <f t="shared" si="572"/>
        <v>0</v>
      </c>
      <c r="X1283" s="236"/>
      <c r="Y1283" s="236"/>
      <c r="Z1283" s="236"/>
    </row>
    <row r="1284" spans="1:26" hidden="1" outlineLevel="2">
      <c r="A1284" s="19"/>
      <c r="B1284" s="38"/>
      <c r="C1284" s="207"/>
      <c r="D1284" s="208"/>
      <c r="E1284" s="133"/>
      <c r="F1284" s="261"/>
      <c r="G1284" s="138"/>
      <c r="H1284" s="135"/>
      <c r="I1284" s="206"/>
      <c r="J1284" s="206"/>
      <c r="K1284" s="206"/>
      <c r="L1284" s="137"/>
      <c r="M1284" s="163"/>
      <c r="N1284" s="163"/>
      <c r="O1284" s="288"/>
      <c r="P1284" s="205"/>
      <c r="Q1284" s="236">
        <f t="shared" si="569"/>
        <v>0</v>
      </c>
      <c r="R1284" s="236">
        <f t="shared" si="570"/>
        <v>0</v>
      </c>
      <c r="S1284" s="236"/>
      <c r="T1284" s="236"/>
      <c r="U1284" s="236">
        <f t="shared" si="571"/>
        <v>0</v>
      </c>
      <c r="V1284" s="236"/>
      <c r="W1284" s="232">
        <f t="shared" si="572"/>
        <v>0</v>
      </c>
      <c r="X1284" s="236"/>
      <c r="Y1284" s="236"/>
      <c r="Z1284" s="236"/>
    </row>
    <row r="1285" spans="1:26" hidden="1" outlineLevel="2">
      <c r="A1285" s="19"/>
      <c r="B1285" s="38"/>
      <c r="C1285" s="207"/>
      <c r="D1285" s="208"/>
      <c r="E1285" s="133"/>
      <c r="F1285" s="261"/>
      <c r="G1285" s="138"/>
      <c r="H1285" s="135"/>
      <c r="I1285" s="206"/>
      <c r="J1285" s="206"/>
      <c r="K1285" s="206"/>
      <c r="L1285" s="137"/>
      <c r="M1285" s="163"/>
      <c r="N1285" s="163"/>
      <c r="O1285" s="288"/>
      <c r="P1285" s="205"/>
      <c r="Q1285" s="236">
        <f t="shared" si="569"/>
        <v>0</v>
      </c>
      <c r="R1285" s="236">
        <f t="shared" si="570"/>
        <v>0</v>
      </c>
      <c r="S1285" s="236"/>
      <c r="T1285" s="236"/>
      <c r="U1285" s="236">
        <f t="shared" si="571"/>
        <v>0</v>
      </c>
      <c r="V1285" s="236"/>
      <c r="W1285" s="232">
        <f t="shared" si="572"/>
        <v>0</v>
      </c>
      <c r="X1285" s="236"/>
      <c r="Y1285" s="236"/>
      <c r="Z1285" s="236"/>
    </row>
    <row r="1286" spans="1:26" hidden="1" outlineLevel="2">
      <c r="A1286" s="160"/>
      <c r="B1286" s="38"/>
      <c r="C1286" s="207"/>
      <c r="D1286" s="208"/>
      <c r="E1286" s="133"/>
      <c r="F1286" s="261"/>
      <c r="G1286" s="138"/>
      <c r="H1286" s="139"/>
      <c r="I1286" s="206"/>
      <c r="J1286" s="206"/>
      <c r="K1286" s="206"/>
      <c r="L1286" s="137"/>
      <c r="M1286" s="74"/>
      <c r="N1286" s="74"/>
      <c r="O1286" s="19"/>
      <c r="P1286" s="205"/>
      <c r="Q1286" s="236">
        <f t="shared" si="569"/>
        <v>0</v>
      </c>
      <c r="R1286" s="236">
        <f t="shared" si="570"/>
        <v>0</v>
      </c>
      <c r="S1286" s="235"/>
      <c r="T1286" s="235"/>
      <c r="U1286" s="236">
        <f t="shared" si="571"/>
        <v>0</v>
      </c>
      <c r="V1286" s="235"/>
      <c r="W1286" s="232">
        <f t="shared" si="572"/>
        <v>0</v>
      </c>
      <c r="X1286" s="235"/>
      <c r="Y1286" s="235"/>
      <c r="Z1286" s="235"/>
    </row>
    <row r="1287" spans="1:26" hidden="1" outlineLevel="2">
      <c r="A1287" s="160"/>
      <c r="B1287" s="38"/>
      <c r="C1287" s="207"/>
      <c r="D1287" s="208"/>
      <c r="E1287" s="133"/>
      <c r="F1287" s="261"/>
      <c r="G1287" s="138"/>
      <c r="H1287" s="139"/>
      <c r="I1287" s="206"/>
      <c r="J1287" s="206"/>
      <c r="K1287" s="206"/>
      <c r="L1287" s="137"/>
      <c r="M1287" s="74"/>
      <c r="N1287" s="19"/>
      <c r="O1287" s="19"/>
      <c r="P1287" s="205"/>
      <c r="Q1287" s="236">
        <f t="shared" si="569"/>
        <v>0</v>
      </c>
      <c r="R1287" s="236">
        <f t="shared" si="570"/>
        <v>0</v>
      </c>
      <c r="S1287" s="235"/>
      <c r="T1287" s="235"/>
      <c r="U1287" s="236">
        <f t="shared" si="571"/>
        <v>0</v>
      </c>
      <c r="V1287" s="235"/>
      <c r="W1287" s="232">
        <f t="shared" si="572"/>
        <v>0</v>
      </c>
      <c r="X1287" s="235"/>
      <c r="Y1287" s="235"/>
      <c r="Z1287" s="235"/>
    </row>
    <row r="1288" spans="1:26" hidden="1" outlineLevel="2">
      <c r="A1288" s="160"/>
      <c r="B1288" s="38"/>
      <c r="C1288" s="207"/>
      <c r="D1288" s="208"/>
      <c r="E1288" s="133"/>
      <c r="F1288" s="261"/>
      <c r="G1288" s="138"/>
      <c r="H1288" s="139"/>
      <c r="I1288" s="206"/>
      <c r="J1288" s="206"/>
      <c r="K1288" s="206"/>
      <c r="L1288" s="137"/>
      <c r="M1288" s="74"/>
      <c r="N1288" s="19"/>
      <c r="O1288" s="19"/>
      <c r="P1288" s="205"/>
      <c r="Q1288" s="236">
        <f t="shared" si="569"/>
        <v>0</v>
      </c>
      <c r="R1288" s="236">
        <f>SUM(S1288:T1288)</f>
        <v>0</v>
      </c>
      <c r="S1288" s="235"/>
      <c r="T1288" s="235"/>
      <c r="U1288" s="236">
        <f t="shared" si="571"/>
        <v>0</v>
      </c>
      <c r="V1288" s="235"/>
      <c r="W1288" s="232">
        <f t="shared" si="572"/>
        <v>0</v>
      </c>
      <c r="X1288" s="235"/>
      <c r="Y1288" s="235"/>
      <c r="Z1288" s="235"/>
    </row>
    <row r="1289" spans="1:26" hidden="1" outlineLevel="2">
      <c r="A1289" s="164"/>
      <c r="B1289" s="351"/>
      <c r="C1289" s="227"/>
      <c r="D1289" s="228"/>
      <c r="E1289" s="165"/>
      <c r="F1289" s="279"/>
      <c r="G1289" s="166"/>
      <c r="H1289" s="167"/>
      <c r="I1289" s="229"/>
      <c r="J1289" s="229"/>
      <c r="K1289" s="229"/>
      <c r="L1289" s="137"/>
      <c r="M1289" s="351"/>
      <c r="N1289" s="168"/>
      <c r="O1289" s="168"/>
      <c r="P1289" s="231"/>
      <c r="Q1289" s="233"/>
      <c r="R1289" s="233"/>
      <c r="S1289" s="233"/>
      <c r="T1289" s="233"/>
      <c r="U1289" s="233"/>
      <c r="V1289" s="233"/>
      <c r="W1289" s="233"/>
      <c r="X1289" s="233"/>
      <c r="Y1289" s="233"/>
      <c r="Z1289" s="233"/>
    </row>
    <row r="1290" spans="1:26" s="75" customFormat="1" outlineLevel="1" collapsed="1">
      <c r="A1290" s="237"/>
      <c r="B1290" s="238"/>
      <c r="C1290" s="239"/>
      <c r="D1290" s="240"/>
      <c r="E1290" s="241"/>
      <c r="F1290" s="264"/>
      <c r="G1290" s="242"/>
      <c r="H1290" s="243"/>
      <c r="I1290" s="244"/>
      <c r="J1290" s="244"/>
      <c r="K1290" s="244"/>
      <c r="L1290" s="150" t="str">
        <f>CONCATENATE(L1291," ",N1291,M1291," ",L1292," ",N1292,M1292," "," ",L1293," ",N1293,M1293," ",L1294," ",N1294,M1294," ",L1295," ",N1295,M1295," ",L1296," ",N1296,M1296," ",L1297," ",N1297,M1297," ",L1298," ",N1298,M1298)</f>
        <v xml:space="preserve">                </v>
      </c>
      <c r="M1290" s="243"/>
      <c r="N1290" s="243"/>
      <c r="O1290" s="287">
        <f>SUM(O1291:O1298)</f>
        <v>0</v>
      </c>
      <c r="P1290" s="245"/>
      <c r="Q1290" s="246">
        <f>SUM(Q1291:Q1298)</f>
        <v>0</v>
      </c>
      <c r="R1290" s="246">
        <f t="shared" ref="R1290:Y1290" si="573">SUM(R1291:R1298)</f>
        <v>0</v>
      </c>
      <c r="S1290" s="246">
        <f t="shared" si="573"/>
        <v>0</v>
      </c>
      <c r="T1290" s="246">
        <f t="shared" si="573"/>
        <v>0</v>
      </c>
      <c r="U1290" s="246">
        <f t="shared" si="573"/>
        <v>0</v>
      </c>
      <c r="V1290" s="246">
        <f t="shared" si="573"/>
        <v>0</v>
      </c>
      <c r="W1290" s="246">
        <f t="shared" si="573"/>
        <v>0</v>
      </c>
      <c r="X1290" s="246">
        <f t="shared" si="573"/>
        <v>0</v>
      </c>
      <c r="Y1290" s="246">
        <f t="shared" si="573"/>
        <v>0</v>
      </c>
      <c r="Z1290" s="246">
        <f>SUM(Z1291:Z1298)</f>
        <v>0</v>
      </c>
    </row>
    <row r="1291" spans="1:26" hidden="1" outlineLevel="2">
      <c r="A1291" s="19"/>
      <c r="B1291" s="38"/>
      <c r="C1291" s="207"/>
      <c r="D1291" s="208"/>
      <c r="E1291" s="133"/>
      <c r="F1291" s="261"/>
      <c r="G1291" s="138"/>
      <c r="H1291" s="135"/>
      <c r="I1291" s="206"/>
      <c r="J1291" s="206"/>
      <c r="K1291" s="206"/>
      <c r="L1291" s="137"/>
      <c r="M1291" s="163"/>
      <c r="N1291" s="163"/>
      <c r="O1291" s="288"/>
      <c r="P1291" s="205"/>
      <c r="Q1291" s="236">
        <f>SUM(R1291,U1291)</f>
        <v>0</v>
      </c>
      <c r="R1291" s="236">
        <f>SUM(S1291:T1291)</f>
        <v>0</v>
      </c>
      <c r="S1291" s="236"/>
      <c r="T1291" s="236"/>
      <c r="U1291" s="236">
        <f>SUM(V1291:Y1291)</f>
        <v>0</v>
      </c>
      <c r="V1291" s="236"/>
      <c r="W1291" s="232">
        <f>V1291*0.304</f>
        <v>0</v>
      </c>
      <c r="X1291" s="236"/>
      <c r="Y1291" s="236"/>
      <c r="Z1291" s="236"/>
    </row>
    <row r="1292" spans="1:26" hidden="1" outlineLevel="2">
      <c r="A1292" s="19"/>
      <c r="B1292" s="38"/>
      <c r="C1292" s="207"/>
      <c r="D1292" s="208"/>
      <c r="E1292" s="133"/>
      <c r="F1292" s="261"/>
      <c r="G1292" s="138"/>
      <c r="H1292" s="135"/>
      <c r="I1292" s="206"/>
      <c r="J1292" s="206"/>
      <c r="K1292" s="206"/>
      <c r="L1292" s="137"/>
      <c r="M1292" s="163"/>
      <c r="N1292" s="163"/>
      <c r="O1292" s="288"/>
      <c r="P1292" s="205"/>
      <c r="Q1292" s="236">
        <f t="shared" ref="Q1292:Q1298" si="574">SUM(R1292,U1292)</f>
        <v>0</v>
      </c>
      <c r="R1292" s="236">
        <f t="shared" ref="R1292:R1297" si="575">SUM(S1292:T1292)</f>
        <v>0</v>
      </c>
      <c r="S1292" s="236"/>
      <c r="T1292" s="236"/>
      <c r="U1292" s="236">
        <f t="shared" ref="U1292:U1298" si="576">SUM(V1292:Y1292)</f>
        <v>0</v>
      </c>
      <c r="V1292" s="236"/>
      <c r="W1292" s="232">
        <f t="shared" ref="W1292:W1298" si="577">V1292*0.304</f>
        <v>0</v>
      </c>
      <c r="X1292" s="236"/>
      <c r="Y1292" s="236"/>
      <c r="Z1292" s="236"/>
    </row>
    <row r="1293" spans="1:26" hidden="1" outlineLevel="2">
      <c r="A1293" s="19"/>
      <c r="B1293" s="38"/>
      <c r="C1293" s="207"/>
      <c r="D1293" s="208"/>
      <c r="E1293" s="133"/>
      <c r="F1293" s="261"/>
      <c r="G1293" s="138"/>
      <c r="H1293" s="135"/>
      <c r="I1293" s="206"/>
      <c r="J1293" s="206"/>
      <c r="K1293" s="206"/>
      <c r="L1293" s="137"/>
      <c r="M1293" s="163"/>
      <c r="N1293" s="163"/>
      <c r="O1293" s="288"/>
      <c r="P1293" s="205"/>
      <c r="Q1293" s="236">
        <f t="shared" si="574"/>
        <v>0</v>
      </c>
      <c r="R1293" s="236">
        <f t="shared" si="575"/>
        <v>0</v>
      </c>
      <c r="S1293" s="236"/>
      <c r="T1293" s="236"/>
      <c r="U1293" s="236">
        <f t="shared" si="576"/>
        <v>0</v>
      </c>
      <c r="V1293" s="236"/>
      <c r="W1293" s="232">
        <f t="shared" si="577"/>
        <v>0</v>
      </c>
      <c r="X1293" s="236"/>
      <c r="Y1293" s="236"/>
      <c r="Z1293" s="236"/>
    </row>
    <row r="1294" spans="1:26" hidden="1" outlineLevel="2">
      <c r="A1294" s="19"/>
      <c r="B1294" s="38"/>
      <c r="C1294" s="207"/>
      <c r="D1294" s="208"/>
      <c r="E1294" s="133"/>
      <c r="F1294" s="261"/>
      <c r="G1294" s="138"/>
      <c r="H1294" s="135"/>
      <c r="I1294" s="206"/>
      <c r="J1294" s="206"/>
      <c r="K1294" s="206"/>
      <c r="L1294" s="137"/>
      <c r="M1294" s="163"/>
      <c r="N1294" s="163"/>
      <c r="O1294" s="288"/>
      <c r="P1294" s="205"/>
      <c r="Q1294" s="236">
        <f t="shared" si="574"/>
        <v>0</v>
      </c>
      <c r="R1294" s="236">
        <f t="shared" si="575"/>
        <v>0</v>
      </c>
      <c r="S1294" s="236"/>
      <c r="T1294" s="236"/>
      <c r="U1294" s="236">
        <f t="shared" si="576"/>
        <v>0</v>
      </c>
      <c r="V1294" s="236"/>
      <c r="W1294" s="232">
        <f t="shared" si="577"/>
        <v>0</v>
      </c>
      <c r="X1294" s="236"/>
      <c r="Y1294" s="236"/>
      <c r="Z1294" s="236"/>
    </row>
    <row r="1295" spans="1:26" hidden="1" outlineLevel="2">
      <c r="A1295" s="19"/>
      <c r="B1295" s="38"/>
      <c r="C1295" s="207"/>
      <c r="D1295" s="208"/>
      <c r="E1295" s="133"/>
      <c r="F1295" s="261"/>
      <c r="G1295" s="138"/>
      <c r="H1295" s="135"/>
      <c r="I1295" s="206"/>
      <c r="J1295" s="206"/>
      <c r="K1295" s="206"/>
      <c r="L1295" s="137"/>
      <c r="M1295" s="163"/>
      <c r="N1295" s="163"/>
      <c r="O1295" s="288"/>
      <c r="P1295" s="205"/>
      <c r="Q1295" s="236">
        <f t="shared" si="574"/>
        <v>0</v>
      </c>
      <c r="R1295" s="236">
        <f t="shared" si="575"/>
        <v>0</v>
      </c>
      <c r="S1295" s="236"/>
      <c r="T1295" s="236"/>
      <c r="U1295" s="236">
        <f t="shared" si="576"/>
        <v>0</v>
      </c>
      <c r="V1295" s="236"/>
      <c r="W1295" s="232">
        <f t="shared" si="577"/>
        <v>0</v>
      </c>
      <c r="X1295" s="236"/>
      <c r="Y1295" s="236"/>
      <c r="Z1295" s="236"/>
    </row>
    <row r="1296" spans="1:26" hidden="1" outlineLevel="2">
      <c r="A1296" s="160"/>
      <c r="B1296" s="38"/>
      <c r="C1296" s="207"/>
      <c r="D1296" s="208"/>
      <c r="E1296" s="133"/>
      <c r="F1296" s="261"/>
      <c r="G1296" s="138"/>
      <c r="H1296" s="139"/>
      <c r="I1296" s="206"/>
      <c r="J1296" s="206"/>
      <c r="K1296" s="206"/>
      <c r="L1296" s="137"/>
      <c r="M1296" s="74"/>
      <c r="N1296" s="74"/>
      <c r="O1296" s="19"/>
      <c r="P1296" s="205"/>
      <c r="Q1296" s="236">
        <f t="shared" si="574"/>
        <v>0</v>
      </c>
      <c r="R1296" s="236">
        <f t="shared" si="575"/>
        <v>0</v>
      </c>
      <c r="S1296" s="235"/>
      <c r="T1296" s="235"/>
      <c r="U1296" s="236">
        <f t="shared" si="576"/>
        <v>0</v>
      </c>
      <c r="V1296" s="235"/>
      <c r="W1296" s="232">
        <f t="shared" si="577"/>
        <v>0</v>
      </c>
      <c r="X1296" s="235"/>
      <c r="Y1296" s="235"/>
      <c r="Z1296" s="235"/>
    </row>
    <row r="1297" spans="1:26" hidden="1" outlineLevel="2">
      <c r="A1297" s="160"/>
      <c r="B1297" s="38"/>
      <c r="C1297" s="207"/>
      <c r="D1297" s="208"/>
      <c r="E1297" s="133"/>
      <c r="F1297" s="261"/>
      <c r="G1297" s="138"/>
      <c r="H1297" s="139"/>
      <c r="I1297" s="206"/>
      <c r="J1297" s="206"/>
      <c r="K1297" s="206"/>
      <c r="L1297" s="137"/>
      <c r="M1297" s="74"/>
      <c r="N1297" s="19"/>
      <c r="O1297" s="19"/>
      <c r="P1297" s="205"/>
      <c r="Q1297" s="236">
        <f t="shared" si="574"/>
        <v>0</v>
      </c>
      <c r="R1297" s="236">
        <f t="shared" si="575"/>
        <v>0</v>
      </c>
      <c r="S1297" s="235"/>
      <c r="T1297" s="235"/>
      <c r="U1297" s="236">
        <f t="shared" si="576"/>
        <v>0</v>
      </c>
      <c r="V1297" s="235"/>
      <c r="W1297" s="232">
        <f t="shared" si="577"/>
        <v>0</v>
      </c>
      <c r="X1297" s="235"/>
      <c r="Y1297" s="235"/>
      <c r="Z1297" s="235"/>
    </row>
    <row r="1298" spans="1:26" hidden="1" outlineLevel="2">
      <c r="A1298" s="160"/>
      <c r="B1298" s="38"/>
      <c r="C1298" s="207"/>
      <c r="D1298" s="208"/>
      <c r="E1298" s="133"/>
      <c r="F1298" s="261"/>
      <c r="G1298" s="138"/>
      <c r="H1298" s="139"/>
      <c r="I1298" s="206"/>
      <c r="J1298" s="206"/>
      <c r="K1298" s="206"/>
      <c r="L1298" s="137"/>
      <c r="M1298" s="74"/>
      <c r="N1298" s="19"/>
      <c r="O1298" s="19"/>
      <c r="P1298" s="205"/>
      <c r="Q1298" s="236">
        <f t="shared" si="574"/>
        <v>0</v>
      </c>
      <c r="R1298" s="236">
        <f>SUM(S1298:T1298)</f>
        <v>0</v>
      </c>
      <c r="S1298" s="235"/>
      <c r="T1298" s="235"/>
      <c r="U1298" s="236">
        <f t="shared" si="576"/>
        <v>0</v>
      </c>
      <c r="V1298" s="235"/>
      <c r="W1298" s="232">
        <f t="shared" si="577"/>
        <v>0</v>
      </c>
      <c r="X1298" s="235"/>
      <c r="Y1298" s="235"/>
      <c r="Z1298" s="235"/>
    </row>
    <row r="1299" spans="1:26" hidden="1" outlineLevel="2">
      <c r="A1299" s="164"/>
      <c r="B1299" s="351"/>
      <c r="C1299" s="227"/>
      <c r="D1299" s="228"/>
      <c r="E1299" s="165"/>
      <c r="F1299" s="279"/>
      <c r="G1299" s="166"/>
      <c r="H1299" s="167"/>
      <c r="I1299" s="229"/>
      <c r="J1299" s="229"/>
      <c r="K1299" s="229"/>
      <c r="L1299" s="137"/>
      <c r="M1299" s="351"/>
      <c r="N1299" s="168"/>
      <c r="O1299" s="168"/>
      <c r="P1299" s="231"/>
      <c r="Q1299" s="233"/>
      <c r="R1299" s="233"/>
      <c r="S1299" s="233"/>
      <c r="T1299" s="233"/>
      <c r="U1299" s="233"/>
      <c r="V1299" s="233"/>
      <c r="W1299" s="233"/>
      <c r="X1299" s="233"/>
      <c r="Y1299" s="233"/>
      <c r="Z1299" s="233"/>
    </row>
    <row r="1300" spans="1:26" s="75" customFormat="1" ht="15.75" outlineLevel="1" collapsed="1" thickBot="1">
      <c r="A1300" s="237"/>
      <c r="B1300" s="238"/>
      <c r="C1300" s="239"/>
      <c r="D1300" s="240"/>
      <c r="E1300" s="241"/>
      <c r="F1300" s="264"/>
      <c r="G1300" s="242"/>
      <c r="H1300" s="243"/>
      <c r="I1300" s="244"/>
      <c r="J1300" s="244"/>
      <c r="K1300" s="244"/>
      <c r="L1300" s="150" t="str">
        <f>CONCATENATE(L1301," ",N1301,M1301," ",L1302," ",N1302,M1302," "," ",L1303," ",N1303,M1303," ",L1304," ",N1304,M1304," ",L1305," ",N1305,M1305," ",L1306," ",N1306,M1306," ",L1307," ",N1307,M1307," ",L1308," ",N1308,M1308)</f>
        <v xml:space="preserve">                </v>
      </c>
      <c r="M1300" s="243"/>
      <c r="N1300" s="243"/>
      <c r="O1300" s="287">
        <f>SUM(O1301:O1308)</f>
        <v>0</v>
      </c>
      <c r="P1300" s="245"/>
      <c r="Q1300" s="246">
        <f>SUM(Q1301:Q1308)</f>
        <v>0</v>
      </c>
      <c r="R1300" s="246">
        <f t="shared" ref="R1300:Y1300" si="578">SUM(R1301:R1308)</f>
        <v>0</v>
      </c>
      <c r="S1300" s="246">
        <f t="shared" si="578"/>
        <v>0</v>
      </c>
      <c r="T1300" s="246">
        <f t="shared" si="578"/>
        <v>0</v>
      </c>
      <c r="U1300" s="246">
        <f t="shared" si="578"/>
        <v>0</v>
      </c>
      <c r="V1300" s="246">
        <f t="shared" si="578"/>
        <v>0</v>
      </c>
      <c r="W1300" s="246">
        <f t="shared" si="578"/>
        <v>0</v>
      </c>
      <c r="X1300" s="246">
        <f t="shared" si="578"/>
        <v>0</v>
      </c>
      <c r="Y1300" s="246">
        <f t="shared" si="578"/>
        <v>0</v>
      </c>
      <c r="Z1300" s="246">
        <f>SUM(Z1301:Z1308)</f>
        <v>0</v>
      </c>
    </row>
    <row r="1301" spans="1:26" hidden="1" outlineLevel="2">
      <c r="A1301" s="19"/>
      <c r="B1301" s="38"/>
      <c r="C1301" s="207"/>
      <c r="D1301" s="208"/>
      <c r="E1301" s="133"/>
      <c r="F1301" s="261"/>
      <c r="G1301" s="138"/>
      <c r="H1301" s="135"/>
      <c r="I1301" s="206"/>
      <c r="J1301" s="206"/>
      <c r="K1301" s="206"/>
      <c r="L1301" s="137"/>
      <c r="M1301" s="163"/>
      <c r="N1301" s="163"/>
      <c r="O1301" s="288"/>
      <c r="P1301" s="205"/>
      <c r="Q1301" s="236">
        <f>SUM(R1301,U1301)</f>
        <v>0</v>
      </c>
      <c r="R1301" s="236">
        <f>SUM(S1301:T1301)</f>
        <v>0</v>
      </c>
      <c r="S1301" s="236"/>
      <c r="T1301" s="236"/>
      <c r="U1301" s="236">
        <f>SUM(V1301:Y1301)</f>
        <v>0</v>
      </c>
      <c r="V1301" s="236"/>
      <c r="W1301" s="232">
        <f>V1301*0.304</f>
        <v>0</v>
      </c>
      <c r="X1301" s="236"/>
      <c r="Y1301" s="236"/>
      <c r="Z1301" s="236"/>
    </row>
    <row r="1302" spans="1:26" hidden="1" outlineLevel="2">
      <c r="A1302" s="19"/>
      <c r="B1302" s="38"/>
      <c r="C1302" s="207"/>
      <c r="D1302" s="208"/>
      <c r="E1302" s="133"/>
      <c r="F1302" s="261"/>
      <c r="G1302" s="138"/>
      <c r="H1302" s="135"/>
      <c r="I1302" s="206"/>
      <c r="J1302" s="206"/>
      <c r="K1302" s="206"/>
      <c r="L1302" s="137"/>
      <c r="M1302" s="163"/>
      <c r="N1302" s="163"/>
      <c r="O1302" s="288"/>
      <c r="P1302" s="205"/>
      <c r="Q1302" s="236">
        <f t="shared" ref="Q1302:Q1308" si="579">SUM(R1302,U1302)</f>
        <v>0</v>
      </c>
      <c r="R1302" s="236">
        <f t="shared" ref="R1302:R1307" si="580">SUM(S1302:T1302)</f>
        <v>0</v>
      </c>
      <c r="S1302" s="236"/>
      <c r="T1302" s="236"/>
      <c r="U1302" s="236">
        <f t="shared" ref="U1302:U1308" si="581">SUM(V1302:Y1302)</f>
        <v>0</v>
      </c>
      <c r="V1302" s="236"/>
      <c r="W1302" s="232">
        <f t="shared" ref="W1302:W1308" si="582">V1302*0.304</f>
        <v>0</v>
      </c>
      <c r="X1302" s="236"/>
      <c r="Y1302" s="236"/>
      <c r="Z1302" s="236"/>
    </row>
    <row r="1303" spans="1:26" hidden="1" outlineLevel="2">
      <c r="A1303" s="19"/>
      <c r="B1303" s="38"/>
      <c r="C1303" s="207"/>
      <c r="D1303" s="208"/>
      <c r="E1303" s="133"/>
      <c r="F1303" s="261"/>
      <c r="G1303" s="138"/>
      <c r="H1303" s="135"/>
      <c r="I1303" s="206"/>
      <c r="J1303" s="206"/>
      <c r="K1303" s="206"/>
      <c r="L1303" s="137"/>
      <c r="M1303" s="163"/>
      <c r="N1303" s="163"/>
      <c r="O1303" s="288"/>
      <c r="P1303" s="205"/>
      <c r="Q1303" s="236">
        <f t="shared" si="579"/>
        <v>0</v>
      </c>
      <c r="R1303" s="236">
        <f t="shared" si="580"/>
        <v>0</v>
      </c>
      <c r="S1303" s="236"/>
      <c r="T1303" s="236"/>
      <c r="U1303" s="236">
        <f t="shared" si="581"/>
        <v>0</v>
      </c>
      <c r="V1303" s="236"/>
      <c r="W1303" s="232">
        <f t="shared" si="582"/>
        <v>0</v>
      </c>
      <c r="X1303" s="236"/>
      <c r="Y1303" s="236"/>
      <c r="Z1303" s="236"/>
    </row>
    <row r="1304" spans="1:26" hidden="1" outlineLevel="2">
      <c r="A1304" s="19"/>
      <c r="B1304" s="38"/>
      <c r="C1304" s="207"/>
      <c r="D1304" s="208"/>
      <c r="E1304" s="133"/>
      <c r="F1304" s="261"/>
      <c r="G1304" s="138"/>
      <c r="H1304" s="135"/>
      <c r="I1304" s="206"/>
      <c r="J1304" s="206"/>
      <c r="K1304" s="206"/>
      <c r="L1304" s="137"/>
      <c r="M1304" s="163"/>
      <c r="N1304" s="163"/>
      <c r="O1304" s="288"/>
      <c r="P1304" s="205"/>
      <c r="Q1304" s="236">
        <f t="shared" si="579"/>
        <v>0</v>
      </c>
      <c r="R1304" s="236">
        <f t="shared" si="580"/>
        <v>0</v>
      </c>
      <c r="S1304" s="236"/>
      <c r="T1304" s="236"/>
      <c r="U1304" s="236">
        <f t="shared" si="581"/>
        <v>0</v>
      </c>
      <c r="V1304" s="236"/>
      <c r="W1304" s="232">
        <f t="shared" si="582"/>
        <v>0</v>
      </c>
      <c r="X1304" s="236"/>
      <c r="Y1304" s="236"/>
      <c r="Z1304" s="236"/>
    </row>
    <row r="1305" spans="1:26" hidden="1" outlineLevel="2">
      <c r="A1305" s="19"/>
      <c r="B1305" s="38"/>
      <c r="C1305" s="207"/>
      <c r="D1305" s="208"/>
      <c r="E1305" s="133"/>
      <c r="F1305" s="261"/>
      <c r="G1305" s="138"/>
      <c r="H1305" s="135"/>
      <c r="I1305" s="206"/>
      <c r="J1305" s="206"/>
      <c r="K1305" s="206"/>
      <c r="L1305" s="137"/>
      <c r="M1305" s="163"/>
      <c r="N1305" s="163"/>
      <c r="O1305" s="288"/>
      <c r="P1305" s="205"/>
      <c r="Q1305" s="236">
        <f t="shared" si="579"/>
        <v>0</v>
      </c>
      <c r="R1305" s="236">
        <f t="shared" si="580"/>
        <v>0</v>
      </c>
      <c r="S1305" s="236"/>
      <c r="T1305" s="236"/>
      <c r="U1305" s="236">
        <f t="shared" si="581"/>
        <v>0</v>
      </c>
      <c r="V1305" s="236"/>
      <c r="W1305" s="232">
        <f t="shared" si="582"/>
        <v>0</v>
      </c>
      <c r="X1305" s="236"/>
      <c r="Y1305" s="236"/>
      <c r="Z1305" s="236"/>
    </row>
    <row r="1306" spans="1:26" hidden="1" outlineLevel="2">
      <c r="A1306" s="160"/>
      <c r="B1306" s="38"/>
      <c r="C1306" s="207"/>
      <c r="D1306" s="208"/>
      <c r="E1306" s="133"/>
      <c r="F1306" s="261"/>
      <c r="G1306" s="138"/>
      <c r="H1306" s="139"/>
      <c r="I1306" s="206"/>
      <c r="J1306" s="206"/>
      <c r="K1306" s="206"/>
      <c r="L1306" s="137"/>
      <c r="M1306" s="74"/>
      <c r="N1306" s="74"/>
      <c r="O1306" s="19"/>
      <c r="P1306" s="205"/>
      <c r="Q1306" s="236">
        <f t="shared" si="579"/>
        <v>0</v>
      </c>
      <c r="R1306" s="236">
        <f t="shared" si="580"/>
        <v>0</v>
      </c>
      <c r="S1306" s="235"/>
      <c r="T1306" s="235"/>
      <c r="U1306" s="236">
        <f t="shared" si="581"/>
        <v>0</v>
      </c>
      <c r="V1306" s="235"/>
      <c r="W1306" s="232">
        <f t="shared" si="582"/>
        <v>0</v>
      </c>
      <c r="X1306" s="235"/>
      <c r="Y1306" s="235"/>
      <c r="Z1306" s="235"/>
    </row>
    <row r="1307" spans="1:26" hidden="1" outlineLevel="2">
      <c r="A1307" s="160"/>
      <c r="B1307" s="38"/>
      <c r="C1307" s="207"/>
      <c r="D1307" s="208"/>
      <c r="E1307" s="133"/>
      <c r="F1307" s="261"/>
      <c r="G1307" s="138"/>
      <c r="H1307" s="139"/>
      <c r="I1307" s="206"/>
      <c r="J1307" s="206"/>
      <c r="K1307" s="206"/>
      <c r="L1307" s="137"/>
      <c r="M1307" s="74"/>
      <c r="N1307" s="19"/>
      <c r="O1307" s="19"/>
      <c r="P1307" s="205"/>
      <c r="Q1307" s="236">
        <f t="shared" si="579"/>
        <v>0</v>
      </c>
      <c r="R1307" s="236">
        <f t="shared" si="580"/>
        <v>0</v>
      </c>
      <c r="S1307" s="235"/>
      <c r="T1307" s="235"/>
      <c r="U1307" s="236">
        <f t="shared" si="581"/>
        <v>0</v>
      </c>
      <c r="V1307" s="235"/>
      <c r="W1307" s="232">
        <f t="shared" si="582"/>
        <v>0</v>
      </c>
      <c r="X1307" s="235"/>
      <c r="Y1307" s="235"/>
      <c r="Z1307" s="235"/>
    </row>
    <row r="1308" spans="1:26" hidden="1" outlineLevel="2">
      <c r="A1308" s="160"/>
      <c r="B1308" s="38"/>
      <c r="C1308" s="207"/>
      <c r="D1308" s="208"/>
      <c r="E1308" s="133"/>
      <c r="F1308" s="261"/>
      <c r="G1308" s="138"/>
      <c r="H1308" s="139"/>
      <c r="I1308" s="206"/>
      <c r="J1308" s="206"/>
      <c r="K1308" s="206"/>
      <c r="L1308" s="137"/>
      <c r="M1308" s="74"/>
      <c r="N1308" s="19"/>
      <c r="O1308" s="19"/>
      <c r="P1308" s="205"/>
      <c r="Q1308" s="236">
        <f t="shared" si="579"/>
        <v>0</v>
      </c>
      <c r="R1308" s="236">
        <f>SUM(S1308:T1308)</f>
        <v>0</v>
      </c>
      <c r="S1308" s="235"/>
      <c r="T1308" s="235"/>
      <c r="U1308" s="236">
        <f t="shared" si="581"/>
        <v>0</v>
      </c>
      <c r="V1308" s="235"/>
      <c r="W1308" s="232">
        <f t="shared" si="582"/>
        <v>0</v>
      </c>
      <c r="X1308" s="235"/>
      <c r="Y1308" s="235"/>
      <c r="Z1308" s="235"/>
    </row>
    <row r="1309" spans="1:26" ht="15.75" hidden="1" outlineLevel="2" thickBot="1">
      <c r="A1309" s="164"/>
      <c r="B1309" s="351"/>
      <c r="C1309" s="227"/>
      <c r="D1309" s="228"/>
      <c r="E1309" s="165"/>
      <c r="F1309" s="279"/>
      <c r="G1309" s="166"/>
      <c r="H1309" s="167"/>
      <c r="I1309" s="229"/>
      <c r="J1309" s="229"/>
      <c r="K1309" s="229"/>
      <c r="L1309" s="367"/>
      <c r="M1309" s="351"/>
      <c r="N1309" s="168"/>
      <c r="O1309" s="168"/>
      <c r="P1309" s="231"/>
      <c r="Q1309" s="233"/>
      <c r="R1309" s="233"/>
      <c r="S1309" s="233"/>
      <c r="T1309" s="233"/>
      <c r="U1309" s="233"/>
      <c r="V1309" s="233"/>
      <c r="W1309" s="233"/>
      <c r="X1309" s="233"/>
      <c r="Y1309" s="233"/>
      <c r="Z1309" s="233"/>
    </row>
    <row r="1310" spans="1:26" ht="20.25" collapsed="1" thickBot="1">
      <c r="A1310" s="621">
        <v>8</v>
      </c>
      <c r="B1310" s="622"/>
      <c r="C1310" s="622"/>
      <c r="D1310" s="622"/>
      <c r="E1310" s="368" t="s">
        <v>65</v>
      </c>
      <c r="F1310" s="278"/>
      <c r="G1310" s="57"/>
      <c r="H1310" s="58"/>
      <c r="I1310" s="68"/>
      <c r="J1310" s="369"/>
      <c r="K1310" s="369"/>
      <c r="L1310" s="59"/>
      <c r="M1310" s="58"/>
      <c r="N1310" s="58"/>
      <c r="O1310" s="68"/>
      <c r="P1310" s="117"/>
      <c r="Q1310" s="60">
        <f>R1310+U1310</f>
        <v>0</v>
      </c>
      <c r="R1310" s="60"/>
      <c r="S1310" s="60"/>
      <c r="T1310" s="60"/>
      <c r="U1310" s="60">
        <f>U1311+U1312+U1313+U1314</f>
        <v>0</v>
      </c>
      <c r="V1310" s="60">
        <f>V1311+V1312+V1313+V1314</f>
        <v>0</v>
      </c>
      <c r="W1310" s="60">
        <f>W1311+W1312+W1313+W1314</f>
        <v>0</v>
      </c>
      <c r="X1310" s="60">
        <f>X1311+X1312+X1313+X1314</f>
        <v>0</v>
      </c>
      <c r="Y1310" s="60">
        <f>Y1311+Y1312+Y1313+Y1314</f>
        <v>0</v>
      </c>
      <c r="Z1310" s="257"/>
    </row>
    <row r="1311" spans="1:26" ht="15.75" hidden="1" customHeight="1" outlineLevel="2">
      <c r="A1311" s="334"/>
      <c r="B1311" s="335"/>
      <c r="C1311" s="69"/>
      <c r="D1311" s="335"/>
      <c r="E1311" s="70"/>
      <c r="F1311" s="282"/>
      <c r="G1311" s="71"/>
      <c r="H1311" s="55"/>
      <c r="I1311" s="335"/>
      <c r="J1311" s="370" t="s">
        <v>128</v>
      </c>
      <c r="K1311" s="370" t="s">
        <v>84</v>
      </c>
      <c r="L1311" s="371" t="s">
        <v>65</v>
      </c>
      <c r="M1311" s="55"/>
      <c r="N1311" s="55"/>
      <c r="O1311" s="55"/>
      <c r="P1311" s="72"/>
      <c r="Q1311" s="350">
        <f>R1311+U1311</f>
        <v>0</v>
      </c>
      <c r="R1311" s="155"/>
      <c r="S1311" s="155"/>
      <c r="T1311" s="155"/>
      <c r="U1311" s="334">
        <f>SUM(V1311:Y1311)</f>
        <v>0</v>
      </c>
      <c r="V1311" s="123"/>
      <c r="W1311" s="123">
        <f>V1311*0.304</f>
        <v>0</v>
      </c>
      <c r="X1311" s="334"/>
      <c r="Y1311" s="334"/>
      <c r="Z1311" s="334"/>
    </row>
    <row r="1312" spans="1:26" ht="15.75" hidden="1" customHeight="1" outlineLevel="2">
      <c r="A1312" s="19"/>
      <c r="B1312" s="74"/>
      <c r="C1312" s="25"/>
      <c r="D1312" s="74"/>
      <c r="E1312" s="26"/>
      <c r="F1312" s="283"/>
      <c r="G1312" s="35"/>
      <c r="H1312" s="17"/>
      <c r="I1312" s="74"/>
      <c r="J1312" s="148" t="s">
        <v>93</v>
      </c>
      <c r="K1312" s="148" t="s">
        <v>88</v>
      </c>
      <c r="L1312" s="27" t="s">
        <v>65</v>
      </c>
      <c r="M1312" s="17"/>
      <c r="N1312" s="17"/>
      <c r="O1312" s="17"/>
      <c r="P1312" s="28"/>
      <c r="Q1312" s="232">
        <f>R1312+U1312</f>
        <v>0</v>
      </c>
      <c r="R1312" s="235"/>
      <c r="S1312" s="235"/>
      <c r="T1312" s="235"/>
      <c r="U1312" s="19">
        <f>SUM(V1312:Y1312)</f>
        <v>0</v>
      </c>
      <c r="V1312" s="124"/>
      <c r="W1312" s="124">
        <f>V1312*0.304</f>
        <v>0</v>
      </c>
      <c r="X1312" s="19"/>
      <c r="Y1312" s="19"/>
      <c r="Z1312" s="19"/>
    </row>
    <row r="1313" spans="1:26" ht="15.75" hidden="1" customHeight="1" outlineLevel="2">
      <c r="A1313" s="19"/>
      <c r="B1313" s="74"/>
      <c r="C1313" s="25"/>
      <c r="D1313" s="74"/>
      <c r="E1313" s="26"/>
      <c r="F1313" s="283"/>
      <c r="G1313" s="35"/>
      <c r="H1313" s="17"/>
      <c r="I1313" s="74"/>
      <c r="J1313" s="148" t="s">
        <v>89</v>
      </c>
      <c r="K1313" s="148" t="s">
        <v>85</v>
      </c>
      <c r="L1313" s="27" t="s">
        <v>65</v>
      </c>
      <c r="M1313" s="17"/>
      <c r="N1313" s="17"/>
      <c r="O1313" s="17"/>
      <c r="P1313" s="28"/>
      <c r="Q1313" s="232">
        <f>R1313+U1313</f>
        <v>0</v>
      </c>
      <c r="R1313" s="235"/>
      <c r="S1313" s="235"/>
      <c r="T1313" s="235"/>
      <c r="U1313" s="19">
        <f>SUM(V1313:Y1313)</f>
        <v>0</v>
      </c>
      <c r="V1313" s="124"/>
      <c r="W1313" s="124">
        <f>V1313*0.304</f>
        <v>0</v>
      </c>
      <c r="X1313" s="19"/>
      <c r="Y1313" s="19"/>
      <c r="Z1313" s="19"/>
    </row>
    <row r="1314" spans="1:26" ht="15.75" hidden="1" customHeight="1" outlineLevel="2">
      <c r="A1314" s="232"/>
      <c r="B1314" s="16"/>
      <c r="C1314" s="18"/>
      <c r="D1314" s="16"/>
      <c r="E1314" s="16"/>
      <c r="F1314" s="280"/>
      <c r="G1314" s="41"/>
      <c r="H1314" s="16"/>
      <c r="I1314" s="161"/>
      <c r="J1314" s="148" t="s">
        <v>86</v>
      </c>
      <c r="K1314" s="148" t="s">
        <v>129</v>
      </c>
      <c r="L1314" s="27" t="s">
        <v>65</v>
      </c>
      <c r="M1314" s="16"/>
      <c r="N1314" s="16"/>
      <c r="O1314" s="50"/>
      <c r="P1314" s="156"/>
      <c r="Q1314" s="232">
        <f>R1314+U1314</f>
        <v>0</v>
      </c>
      <c r="R1314" s="232"/>
      <c r="S1314" s="232"/>
      <c r="T1314" s="232"/>
      <c r="U1314" s="19">
        <f>SUM(V1314:Y1314)</f>
        <v>0</v>
      </c>
      <c r="V1314" s="124"/>
      <c r="W1314" s="124">
        <f>V1314*0.304</f>
        <v>0</v>
      </c>
      <c r="X1314" s="40"/>
      <c r="Y1314" s="19"/>
      <c r="Z1314" s="19"/>
    </row>
    <row r="1315" spans="1:26">
      <c r="A1315" s="83"/>
      <c r="B1315" s="20"/>
      <c r="C1315" s="21"/>
      <c r="D1315" s="20"/>
      <c r="E1315" s="20"/>
      <c r="F1315" s="284"/>
      <c r="G1315" s="36"/>
      <c r="H1315" s="20"/>
      <c r="I1315" s="52"/>
      <c r="J1315" s="89"/>
      <c r="K1315" s="89"/>
      <c r="L1315" s="22"/>
      <c r="M1315" s="20"/>
      <c r="N1315" s="20"/>
      <c r="O1315" s="47"/>
      <c r="P1315" s="118"/>
      <c r="Q1315" s="83"/>
      <c r="R1315" s="83"/>
      <c r="S1315" s="83"/>
      <c r="T1315" s="83"/>
      <c r="U1315" s="83"/>
      <c r="V1315" s="67"/>
      <c r="W1315" s="83"/>
      <c r="X1315" s="83"/>
      <c r="Y1315" s="67"/>
      <c r="Z1315" s="67"/>
    </row>
    <row r="1316" spans="1:26">
      <c r="A1316" s="83"/>
      <c r="B1316" s="20"/>
      <c r="C1316" s="21"/>
      <c r="D1316" s="20"/>
      <c r="E1316" s="20"/>
      <c r="F1316" s="284"/>
      <c r="G1316" s="36"/>
      <c r="H1316" s="20"/>
      <c r="I1316" s="52"/>
      <c r="J1316" s="89"/>
      <c r="K1316" s="89"/>
      <c r="L1316" s="22"/>
      <c r="M1316" s="20"/>
      <c r="N1316" s="20"/>
      <c r="O1316" s="47"/>
      <c r="P1316" s="118"/>
      <c r="Q1316" s="83" t="s">
        <v>78</v>
      </c>
      <c r="R1316" s="83"/>
      <c r="S1316" s="83"/>
      <c r="T1316" s="83"/>
      <c r="U1316" s="83"/>
      <c r="V1316" s="67"/>
      <c r="W1316" s="83"/>
      <c r="X1316" s="83"/>
      <c r="Y1316" s="67"/>
      <c r="Z1316" s="67"/>
    </row>
    <row r="1317" spans="1:26">
      <c r="A1317" s="83"/>
      <c r="B1317" s="20"/>
      <c r="C1317" s="21"/>
      <c r="D1317" s="20"/>
      <c r="E1317" s="20"/>
      <c r="F1317" s="284"/>
      <c r="G1317" s="36"/>
      <c r="H1317" s="20"/>
      <c r="I1317" s="52"/>
      <c r="J1317" s="89"/>
      <c r="K1317" s="89"/>
      <c r="L1317" s="22"/>
      <c r="M1317" s="20"/>
      <c r="N1317" s="20"/>
      <c r="O1317" s="47"/>
      <c r="P1317" s="118"/>
      <c r="Q1317" s="83"/>
      <c r="R1317" s="83"/>
      <c r="S1317" s="83"/>
      <c r="T1317" s="83"/>
      <c r="U1317" s="83"/>
      <c r="V1317" s="67"/>
      <c r="W1317" s="83"/>
      <c r="X1317" s="83"/>
      <c r="Y1317" s="67"/>
      <c r="Z1317" s="67"/>
    </row>
    <row r="1318" spans="1:26">
      <c r="A1318" s="83"/>
      <c r="B1318" s="20"/>
      <c r="C1318" s="21"/>
      <c r="D1318" s="20"/>
      <c r="E1318" s="20"/>
      <c r="F1318" s="284"/>
      <c r="G1318" s="36"/>
      <c r="H1318" s="20"/>
      <c r="I1318" s="52"/>
      <c r="J1318" s="89"/>
      <c r="K1318" s="89"/>
      <c r="L1318" s="22"/>
      <c r="M1318" s="20"/>
      <c r="N1318" s="20"/>
      <c r="O1318" s="47"/>
      <c r="P1318" s="118"/>
      <c r="Q1318" s="83" t="s">
        <v>77</v>
      </c>
      <c r="R1318" s="83"/>
      <c r="S1318" s="83"/>
      <c r="T1318" s="83"/>
      <c r="U1318" s="83"/>
      <c r="V1318" s="67"/>
      <c r="W1318" s="83"/>
      <c r="X1318" s="83"/>
      <c r="Y1318" s="67"/>
      <c r="Z1318" s="67"/>
    </row>
    <row r="1319" spans="1:26">
      <c r="A1319" s="83"/>
      <c r="B1319" s="20"/>
      <c r="C1319" s="21"/>
      <c r="D1319" s="20"/>
      <c r="E1319" s="20"/>
      <c r="F1319" s="284"/>
      <c r="G1319" s="36"/>
      <c r="H1319" s="20"/>
      <c r="I1319" s="52"/>
      <c r="J1319" s="89"/>
      <c r="K1319" s="89"/>
      <c r="L1319" s="22"/>
      <c r="M1319" s="20"/>
      <c r="N1319" s="20"/>
      <c r="O1319" s="47"/>
      <c r="P1319" s="118"/>
      <c r="Q1319" s="83"/>
      <c r="R1319" s="83"/>
      <c r="S1319" s="83"/>
      <c r="T1319" s="83"/>
      <c r="U1319" s="83"/>
      <c r="V1319" s="67"/>
      <c r="W1319" s="83"/>
      <c r="X1319" s="83"/>
      <c r="Y1319" s="67"/>
      <c r="Z1319" s="67"/>
    </row>
    <row r="1320" spans="1:26">
      <c r="A1320" s="83"/>
      <c r="B1320" s="20"/>
      <c r="C1320" s="21"/>
      <c r="D1320" s="20"/>
      <c r="E1320" s="20"/>
      <c r="F1320" s="284"/>
      <c r="G1320" s="36"/>
      <c r="H1320" s="20"/>
      <c r="I1320" s="52"/>
      <c r="J1320" s="89"/>
      <c r="K1320" s="89"/>
      <c r="L1320" s="22"/>
      <c r="M1320" s="20"/>
      <c r="N1320" s="20"/>
      <c r="O1320" s="47"/>
      <c r="P1320" s="118"/>
      <c r="Q1320" s="83" t="s">
        <v>296</v>
      </c>
      <c r="R1320" s="83"/>
      <c r="S1320" s="83"/>
      <c r="T1320" s="83"/>
      <c r="U1320" s="83"/>
      <c r="V1320" s="67"/>
      <c r="W1320" s="83"/>
      <c r="X1320" s="83"/>
      <c r="Y1320" s="67"/>
      <c r="Z1320" s="67"/>
    </row>
    <row r="1321" spans="1:26">
      <c r="A1321" s="83"/>
      <c r="B1321" s="20"/>
      <c r="C1321" s="21"/>
      <c r="D1321" s="20"/>
      <c r="E1321" s="20"/>
      <c r="F1321" s="284"/>
      <c r="G1321" s="36"/>
      <c r="H1321" s="20"/>
      <c r="I1321" s="52"/>
      <c r="J1321" s="89"/>
      <c r="K1321" s="89"/>
      <c r="L1321" s="22"/>
      <c r="M1321" s="20"/>
      <c r="N1321" s="20"/>
      <c r="O1321" s="47"/>
      <c r="P1321" s="118"/>
      <c r="Q1321" s="83"/>
      <c r="R1321" s="83"/>
      <c r="S1321" s="83"/>
      <c r="T1321" s="83"/>
      <c r="U1321" s="83"/>
      <c r="V1321" s="67"/>
      <c r="W1321" s="83"/>
      <c r="X1321" s="83"/>
      <c r="Y1321" s="67"/>
      <c r="Z1321" s="67"/>
    </row>
    <row r="1322" spans="1:26">
      <c r="A1322" s="83"/>
      <c r="B1322" s="20"/>
      <c r="C1322" s="21"/>
      <c r="D1322" s="20"/>
      <c r="E1322" s="20"/>
      <c r="F1322" s="284"/>
      <c r="G1322" s="36"/>
      <c r="H1322" s="20"/>
      <c r="I1322" s="52"/>
      <c r="J1322" s="89"/>
      <c r="K1322" s="89"/>
      <c r="L1322" s="22"/>
      <c r="M1322" s="20"/>
      <c r="N1322" s="20"/>
      <c r="O1322" s="47"/>
      <c r="P1322" s="118"/>
      <c r="Q1322" s="366" t="s">
        <v>297</v>
      </c>
      <c r="R1322" s="83"/>
      <c r="S1322" s="83"/>
      <c r="T1322" s="83"/>
      <c r="U1322" s="83"/>
      <c r="V1322" s="67"/>
      <c r="W1322" s="83"/>
      <c r="X1322" s="83"/>
      <c r="Y1322" s="67"/>
      <c r="Z1322" s="67"/>
    </row>
    <row r="1323" spans="1:26">
      <c r="A1323" s="83"/>
      <c r="B1323" s="20"/>
      <c r="C1323" s="21"/>
      <c r="D1323" s="20"/>
      <c r="E1323" s="20"/>
      <c r="F1323" s="284"/>
      <c r="G1323" s="36"/>
      <c r="H1323" s="20"/>
      <c r="I1323" s="52"/>
      <c r="J1323" s="89"/>
      <c r="K1323" s="89"/>
      <c r="L1323" s="22"/>
      <c r="M1323" s="20"/>
      <c r="N1323" s="20"/>
      <c r="O1323" s="47"/>
      <c r="P1323" s="118"/>
      <c r="Q1323" s="83"/>
      <c r="R1323" s="83"/>
      <c r="S1323" s="83"/>
      <c r="T1323" s="83"/>
      <c r="U1323" s="83"/>
      <c r="V1323" s="67"/>
      <c r="W1323" s="83"/>
      <c r="X1323" s="372"/>
      <c r="Y1323" s="67"/>
      <c r="Z1323" s="67"/>
    </row>
    <row r="1324" spans="1:26">
      <c r="A1324" s="83"/>
      <c r="B1324" s="20"/>
      <c r="C1324" s="21"/>
      <c r="D1324" s="20"/>
      <c r="E1324" s="20"/>
      <c r="F1324" s="284"/>
      <c r="G1324" s="36"/>
      <c r="H1324" s="20"/>
      <c r="I1324" s="52"/>
      <c r="J1324" s="89"/>
      <c r="K1324" s="89"/>
      <c r="L1324" s="22"/>
      <c r="M1324" s="20"/>
      <c r="N1324" s="20"/>
      <c r="O1324" s="47"/>
      <c r="P1324" s="118"/>
      <c r="Q1324" s="83" t="s">
        <v>79</v>
      </c>
      <c r="R1324" s="83"/>
      <c r="S1324" s="83"/>
      <c r="T1324" s="83"/>
      <c r="U1324" s="83"/>
      <c r="V1324" s="67"/>
      <c r="W1324" s="83"/>
      <c r="X1324" s="372"/>
      <c r="Y1324" s="67"/>
      <c r="Z1324" s="67"/>
    </row>
    <row r="1325" spans="1:26">
      <c r="A1325" s="83"/>
      <c r="B1325" s="20"/>
      <c r="C1325" s="21"/>
      <c r="D1325" s="20"/>
      <c r="E1325" s="20"/>
      <c r="F1325" s="284"/>
      <c r="G1325" s="36"/>
      <c r="H1325" s="20"/>
      <c r="I1325" s="52"/>
      <c r="J1325" s="89"/>
      <c r="K1325" s="89"/>
      <c r="L1325" s="22"/>
      <c r="M1325" s="20"/>
      <c r="N1325" s="20"/>
      <c r="O1325" s="47"/>
      <c r="P1325" s="118"/>
      <c r="Q1325" s="83"/>
      <c r="R1325" s="83"/>
      <c r="S1325" s="83"/>
      <c r="T1325" s="83"/>
      <c r="U1325" s="83"/>
      <c r="V1325" s="67"/>
      <c r="W1325" s="83"/>
      <c r="X1325" s="372"/>
      <c r="Y1325" s="67"/>
      <c r="Z1325" s="67"/>
    </row>
    <row r="1326" spans="1:26">
      <c r="A1326" s="83"/>
      <c r="B1326" s="20"/>
      <c r="C1326" s="21"/>
      <c r="D1326" s="20"/>
      <c r="E1326" s="20"/>
      <c r="F1326" s="284"/>
      <c r="G1326" s="36"/>
      <c r="H1326" s="20"/>
      <c r="I1326" s="52"/>
      <c r="J1326" s="89"/>
      <c r="K1326" s="89"/>
      <c r="L1326" s="22"/>
      <c r="M1326" s="20"/>
      <c r="N1326" s="20"/>
      <c r="O1326" s="47"/>
      <c r="P1326" s="118"/>
      <c r="Q1326" s="83"/>
      <c r="R1326" s="83"/>
      <c r="S1326" s="83"/>
      <c r="T1326" s="83"/>
      <c r="U1326" s="83"/>
      <c r="V1326" s="67"/>
      <c r="W1326" s="83"/>
      <c r="X1326" s="83"/>
      <c r="Y1326" s="67"/>
      <c r="Z1326" s="67"/>
    </row>
    <row r="1327" spans="1:26">
      <c r="A1327" s="83"/>
      <c r="B1327" s="20"/>
      <c r="C1327" s="21"/>
      <c r="D1327" s="20"/>
      <c r="E1327" s="20"/>
      <c r="F1327" s="284"/>
      <c r="G1327" s="36"/>
      <c r="H1327" s="20"/>
      <c r="I1327" s="52"/>
      <c r="J1327" s="89"/>
      <c r="K1327" s="89"/>
      <c r="L1327" s="22"/>
      <c r="M1327" s="20"/>
      <c r="N1327" s="20"/>
      <c r="O1327" s="47"/>
      <c r="P1327" s="118"/>
      <c r="Q1327" s="83"/>
      <c r="R1327" s="83"/>
      <c r="S1327" s="83"/>
      <c r="T1327" s="83"/>
      <c r="U1327" s="83"/>
      <c r="V1327" s="67"/>
      <c r="W1327" s="83"/>
      <c r="X1327" s="83"/>
      <c r="Y1327" s="67"/>
      <c r="Z1327" s="67"/>
    </row>
    <row r="1328" spans="1:26">
      <c r="A1328" s="83"/>
      <c r="B1328" s="20"/>
      <c r="C1328" s="21"/>
      <c r="D1328" s="20"/>
      <c r="E1328" s="20"/>
      <c r="F1328" s="284"/>
      <c r="G1328" s="36"/>
      <c r="H1328" s="20"/>
      <c r="I1328" s="52"/>
      <c r="J1328" s="89"/>
      <c r="K1328" s="89"/>
      <c r="L1328" s="22"/>
      <c r="M1328" s="20"/>
      <c r="N1328" s="20"/>
      <c r="O1328" s="47"/>
      <c r="P1328" s="118"/>
      <c r="Q1328" s="83"/>
      <c r="R1328" s="83"/>
      <c r="S1328" s="83"/>
      <c r="T1328" s="83"/>
      <c r="U1328" s="83"/>
      <c r="V1328" s="67"/>
      <c r="W1328" s="83"/>
      <c r="X1328" s="83"/>
      <c r="Y1328" s="67"/>
      <c r="Z1328" s="67"/>
    </row>
    <row r="1329" spans="1:26">
      <c r="A1329" s="83"/>
      <c r="B1329" s="20"/>
      <c r="C1329" s="21"/>
      <c r="D1329" s="20"/>
      <c r="E1329" s="20"/>
      <c r="F1329" s="284"/>
      <c r="G1329" s="36"/>
      <c r="H1329" s="20"/>
      <c r="I1329" s="52"/>
      <c r="J1329" s="89"/>
      <c r="K1329" s="89"/>
      <c r="L1329" s="22"/>
      <c r="M1329" s="20"/>
      <c r="N1329" s="20"/>
      <c r="O1329" s="47"/>
      <c r="P1329" s="118"/>
      <c r="Q1329" s="83"/>
      <c r="R1329" s="83"/>
      <c r="S1329" s="83"/>
      <c r="T1329" s="83"/>
      <c r="U1329" s="83"/>
      <c r="V1329" s="67"/>
      <c r="W1329" s="83"/>
      <c r="X1329" s="83"/>
      <c r="Y1329" s="67"/>
      <c r="Z1329" s="67"/>
    </row>
    <row r="1330" spans="1:26">
      <c r="A1330" s="83"/>
      <c r="B1330" s="20"/>
      <c r="C1330" s="21"/>
      <c r="D1330" s="20"/>
      <c r="E1330" s="20"/>
      <c r="F1330" s="284"/>
      <c r="G1330" s="36"/>
      <c r="H1330" s="20"/>
      <c r="I1330" s="52"/>
      <c r="J1330" s="89"/>
      <c r="K1330" s="89"/>
      <c r="L1330" s="22"/>
      <c r="M1330" s="20"/>
      <c r="N1330" s="20"/>
      <c r="O1330" s="47"/>
      <c r="P1330" s="118"/>
      <c r="Q1330" s="83"/>
      <c r="R1330" s="83"/>
      <c r="S1330" s="83"/>
      <c r="T1330" s="83"/>
      <c r="U1330" s="83"/>
      <c r="V1330" s="67"/>
      <c r="W1330" s="83"/>
      <c r="X1330" s="83"/>
      <c r="Y1330" s="67"/>
      <c r="Z1330" s="67"/>
    </row>
    <row r="1331" spans="1:26">
      <c r="A1331" s="83"/>
      <c r="B1331" s="20"/>
      <c r="C1331" s="21"/>
      <c r="D1331" s="20"/>
      <c r="E1331" s="20"/>
      <c r="F1331" s="284"/>
      <c r="G1331" s="36"/>
      <c r="H1331" s="20"/>
      <c r="I1331" s="52"/>
      <c r="J1331" s="89"/>
      <c r="K1331" s="89"/>
      <c r="L1331" s="22"/>
      <c r="M1331" s="20"/>
      <c r="N1331" s="20"/>
      <c r="O1331" s="47"/>
      <c r="P1331" s="118"/>
      <c r="Q1331" s="83"/>
      <c r="R1331" s="83"/>
      <c r="S1331" s="83"/>
      <c r="T1331" s="83"/>
      <c r="U1331" s="83"/>
      <c r="V1331" s="67"/>
      <c r="W1331" s="83"/>
      <c r="X1331" s="83"/>
      <c r="Y1331" s="67"/>
      <c r="Z1331" s="67"/>
    </row>
    <row r="1332" spans="1:26">
      <c r="A1332" s="83"/>
      <c r="B1332" s="20"/>
      <c r="C1332" s="21"/>
      <c r="D1332" s="20"/>
      <c r="E1332" s="20"/>
      <c r="F1332" s="284"/>
      <c r="G1332" s="36"/>
      <c r="H1332" s="20"/>
      <c r="I1332" s="52"/>
      <c r="J1332" s="89"/>
      <c r="K1332" s="89"/>
      <c r="L1332" s="22"/>
      <c r="M1332" s="20"/>
      <c r="N1332" s="20"/>
      <c r="O1332" s="47"/>
      <c r="P1332" s="118"/>
      <c r="Q1332" s="83"/>
      <c r="R1332" s="83"/>
      <c r="S1332" s="83"/>
      <c r="T1332" s="83"/>
      <c r="U1332" s="83"/>
      <c r="V1332" s="67"/>
      <c r="W1332" s="83"/>
      <c r="X1332" s="83"/>
      <c r="Y1332" s="67"/>
      <c r="Z1332" s="67"/>
    </row>
    <row r="1333" spans="1:26">
      <c r="A1333" s="83"/>
      <c r="B1333" s="20"/>
      <c r="C1333" s="21"/>
      <c r="D1333" s="20"/>
      <c r="E1333" s="20"/>
      <c r="F1333" s="284"/>
      <c r="G1333" s="36"/>
      <c r="H1333" s="20"/>
      <c r="I1333" s="52"/>
      <c r="J1333" s="89"/>
      <c r="K1333" s="89"/>
      <c r="L1333" s="22"/>
      <c r="M1333" s="20"/>
      <c r="N1333" s="20"/>
      <c r="O1333" s="47"/>
      <c r="P1333" s="118"/>
      <c r="Q1333" s="83"/>
      <c r="R1333" s="83"/>
      <c r="S1333" s="83"/>
      <c r="T1333" s="83"/>
      <c r="U1333" s="83"/>
      <c r="V1333" s="67"/>
      <c r="W1333" s="83"/>
      <c r="X1333" s="83"/>
      <c r="Y1333" s="67"/>
      <c r="Z1333" s="67"/>
    </row>
    <row r="1334" spans="1:26">
      <c r="A1334" s="83"/>
      <c r="B1334" s="20"/>
      <c r="C1334" s="21"/>
      <c r="D1334" s="20"/>
      <c r="E1334" s="20"/>
      <c r="F1334" s="284"/>
      <c r="G1334" s="36"/>
      <c r="H1334" s="20"/>
      <c r="I1334" s="52"/>
      <c r="J1334" s="89"/>
      <c r="K1334" s="89"/>
      <c r="L1334" s="22"/>
      <c r="M1334" s="20"/>
      <c r="N1334" s="20"/>
      <c r="O1334" s="47"/>
      <c r="P1334" s="118"/>
      <c r="Q1334" s="83"/>
      <c r="R1334" s="83"/>
      <c r="S1334" s="83"/>
      <c r="T1334" s="83"/>
      <c r="U1334" s="83"/>
      <c r="V1334" s="67"/>
      <c r="W1334" s="83"/>
      <c r="X1334" s="83"/>
      <c r="Y1334" s="67"/>
      <c r="Z1334" s="67"/>
    </row>
    <row r="1335" spans="1:26">
      <c r="A1335" s="83"/>
      <c r="B1335" s="20"/>
      <c r="C1335" s="21"/>
      <c r="D1335" s="20"/>
      <c r="E1335" s="20"/>
      <c r="F1335" s="284"/>
      <c r="G1335" s="36"/>
      <c r="H1335" s="20"/>
      <c r="I1335" s="52"/>
      <c r="J1335" s="89"/>
      <c r="K1335" s="89"/>
      <c r="L1335" s="22"/>
      <c r="M1335" s="20"/>
      <c r="N1335" s="20"/>
      <c r="O1335" s="47"/>
      <c r="P1335" s="118"/>
      <c r="Q1335" s="83"/>
      <c r="R1335" s="83"/>
      <c r="S1335" s="83"/>
      <c r="T1335" s="83"/>
      <c r="U1335" s="83"/>
      <c r="V1335" s="67"/>
      <c r="W1335" s="83"/>
      <c r="X1335" s="83"/>
      <c r="Y1335" s="67"/>
      <c r="Z1335" s="67"/>
    </row>
    <row r="1336" spans="1:26">
      <c r="A1336" s="83"/>
      <c r="B1336" s="20"/>
      <c r="C1336" s="21"/>
      <c r="D1336" s="20"/>
      <c r="E1336" s="20"/>
      <c r="F1336" s="284"/>
      <c r="G1336" s="36"/>
      <c r="H1336" s="20"/>
      <c r="I1336" s="52"/>
      <c r="J1336" s="89"/>
      <c r="K1336" s="89"/>
      <c r="L1336" s="22"/>
      <c r="M1336" s="20"/>
      <c r="N1336" s="20"/>
      <c r="O1336" s="47"/>
      <c r="P1336" s="118"/>
      <c r="Q1336" s="83"/>
      <c r="R1336" s="83"/>
      <c r="S1336" s="83"/>
      <c r="T1336" s="83"/>
      <c r="U1336" s="83"/>
      <c r="V1336" s="67"/>
      <c r="W1336" s="83"/>
      <c r="X1336" s="83"/>
      <c r="Y1336" s="67"/>
      <c r="Z1336" s="67"/>
    </row>
    <row r="1337" spans="1:26">
      <c r="A1337" s="83"/>
      <c r="B1337" s="20"/>
      <c r="C1337" s="21"/>
      <c r="D1337" s="20"/>
      <c r="E1337" s="20"/>
      <c r="F1337" s="284"/>
      <c r="G1337" s="36"/>
      <c r="H1337" s="20"/>
      <c r="I1337" s="52"/>
      <c r="J1337" s="89"/>
      <c r="K1337" s="89"/>
      <c r="L1337" s="22"/>
      <c r="M1337" s="20"/>
      <c r="N1337" s="20"/>
      <c r="O1337" s="47"/>
      <c r="P1337" s="118"/>
      <c r="Q1337" s="83"/>
      <c r="R1337" s="83"/>
      <c r="S1337" s="83"/>
      <c r="T1337" s="83"/>
      <c r="U1337" s="83"/>
      <c r="V1337" s="67"/>
      <c r="W1337" s="83"/>
      <c r="X1337" s="83"/>
      <c r="Y1337" s="67"/>
      <c r="Z1337" s="67"/>
    </row>
    <row r="1338" spans="1:26">
      <c r="A1338" s="83"/>
      <c r="B1338" s="20"/>
      <c r="C1338" s="21"/>
      <c r="D1338" s="20"/>
      <c r="E1338" s="20"/>
      <c r="F1338" s="284"/>
      <c r="G1338" s="36"/>
      <c r="H1338" s="20"/>
      <c r="I1338" s="52"/>
      <c r="J1338" s="89"/>
      <c r="K1338" s="89"/>
      <c r="L1338" s="22"/>
      <c r="M1338" s="20"/>
      <c r="N1338" s="20"/>
      <c r="O1338" s="47"/>
      <c r="P1338" s="118"/>
      <c r="Q1338" s="83"/>
      <c r="R1338" s="83"/>
      <c r="S1338" s="83"/>
      <c r="T1338" s="83"/>
      <c r="U1338" s="83"/>
      <c r="V1338" s="67"/>
      <c r="W1338" s="83"/>
      <c r="X1338" s="83"/>
      <c r="Y1338" s="67"/>
      <c r="Z1338" s="67"/>
    </row>
    <row r="1339" spans="1:26">
      <c r="A1339" s="83"/>
      <c r="B1339" s="20"/>
      <c r="C1339" s="21"/>
      <c r="D1339" s="20"/>
      <c r="E1339" s="20"/>
      <c r="F1339" s="284"/>
      <c r="G1339" s="36"/>
      <c r="H1339" s="20"/>
      <c r="I1339" s="52"/>
      <c r="J1339" s="89"/>
      <c r="K1339" s="89"/>
      <c r="L1339" s="22"/>
      <c r="M1339" s="20"/>
      <c r="N1339" s="20"/>
      <c r="O1339" s="47"/>
      <c r="P1339" s="118"/>
      <c r="Q1339" s="83"/>
      <c r="R1339" s="83"/>
      <c r="S1339" s="83"/>
      <c r="T1339" s="83"/>
      <c r="U1339" s="83"/>
      <c r="V1339" s="67"/>
      <c r="W1339" s="83"/>
      <c r="X1339" s="83"/>
      <c r="Y1339" s="67"/>
      <c r="Z1339" s="67"/>
    </row>
    <row r="1340" spans="1:26">
      <c r="A1340" s="83"/>
      <c r="B1340" s="20"/>
      <c r="C1340" s="21"/>
      <c r="D1340" s="20"/>
      <c r="E1340" s="20"/>
      <c r="F1340" s="284"/>
      <c r="G1340" s="36"/>
      <c r="H1340" s="20"/>
      <c r="I1340" s="52"/>
      <c r="J1340" s="89"/>
      <c r="K1340" s="89"/>
      <c r="L1340" s="22"/>
      <c r="M1340" s="20"/>
      <c r="N1340" s="20"/>
      <c r="O1340" s="47"/>
      <c r="P1340" s="118"/>
      <c r="Q1340" s="83"/>
      <c r="R1340" s="83"/>
      <c r="S1340" s="83"/>
      <c r="T1340" s="83"/>
      <c r="U1340" s="83"/>
      <c r="V1340" s="67"/>
      <c r="W1340" s="83"/>
      <c r="X1340" s="83"/>
      <c r="Y1340" s="67"/>
      <c r="Z1340" s="67"/>
    </row>
    <row r="1341" spans="1:26">
      <c r="A1341" s="83"/>
      <c r="B1341" s="20"/>
      <c r="C1341" s="21"/>
      <c r="D1341" s="20"/>
      <c r="E1341" s="20"/>
      <c r="F1341" s="284"/>
      <c r="G1341" s="36"/>
      <c r="H1341" s="20"/>
      <c r="I1341" s="52"/>
      <c r="J1341" s="89"/>
      <c r="K1341" s="89"/>
      <c r="L1341" s="22"/>
      <c r="M1341" s="20"/>
      <c r="N1341" s="20"/>
      <c r="O1341" s="47"/>
      <c r="P1341" s="118"/>
      <c r="Q1341" s="83"/>
      <c r="R1341" s="83"/>
      <c r="S1341" s="83"/>
      <c r="T1341" s="83"/>
      <c r="U1341" s="83"/>
      <c r="V1341" s="67"/>
      <c r="W1341" s="83"/>
      <c r="X1341" s="83"/>
      <c r="Y1341" s="67"/>
      <c r="Z1341" s="67"/>
    </row>
    <row r="1342" spans="1:26">
      <c r="A1342" s="83"/>
      <c r="B1342" s="20"/>
      <c r="C1342" s="21"/>
      <c r="D1342" s="20"/>
      <c r="E1342" s="20"/>
      <c r="F1342" s="284"/>
      <c r="G1342" s="36"/>
      <c r="H1342" s="20"/>
      <c r="I1342" s="52"/>
      <c r="J1342" s="89"/>
      <c r="K1342" s="89"/>
      <c r="L1342" s="22"/>
      <c r="M1342" s="20"/>
      <c r="N1342" s="20"/>
      <c r="O1342" s="47"/>
      <c r="P1342" s="118"/>
      <c r="Q1342" s="83"/>
      <c r="R1342" s="83"/>
      <c r="S1342" s="83"/>
      <c r="T1342" s="83"/>
      <c r="U1342" s="83"/>
      <c r="V1342" s="67"/>
      <c r="W1342" s="83"/>
      <c r="X1342" s="83"/>
      <c r="Y1342" s="67"/>
      <c r="Z1342" s="67"/>
    </row>
    <row r="1343" spans="1:26">
      <c r="A1343" s="83"/>
      <c r="B1343" s="20"/>
      <c r="C1343" s="21"/>
      <c r="D1343" s="20"/>
      <c r="E1343" s="20"/>
      <c r="F1343" s="284"/>
      <c r="G1343" s="36"/>
      <c r="H1343" s="20"/>
      <c r="I1343" s="52"/>
      <c r="J1343" s="89"/>
      <c r="K1343" s="89"/>
      <c r="L1343" s="22"/>
      <c r="M1343" s="20"/>
      <c r="N1343" s="20"/>
      <c r="O1343" s="47"/>
      <c r="P1343" s="118"/>
      <c r="Q1343" s="83"/>
      <c r="R1343" s="83"/>
      <c r="S1343" s="83"/>
      <c r="T1343" s="83"/>
      <c r="U1343" s="83"/>
      <c r="V1343" s="67"/>
      <c r="W1343" s="83"/>
      <c r="X1343" s="83"/>
      <c r="Y1343" s="67"/>
      <c r="Z1343" s="67"/>
    </row>
    <row r="1344" spans="1:26">
      <c r="A1344" s="83"/>
      <c r="B1344" s="20"/>
      <c r="C1344" s="21"/>
      <c r="D1344" s="20"/>
      <c r="E1344" s="20"/>
      <c r="F1344" s="284"/>
      <c r="G1344" s="36"/>
      <c r="H1344" s="20"/>
      <c r="I1344" s="52"/>
      <c r="J1344" s="89"/>
      <c r="K1344" s="89"/>
      <c r="L1344" s="22"/>
      <c r="M1344" s="20"/>
      <c r="N1344" s="20"/>
      <c r="O1344" s="47"/>
      <c r="P1344" s="118"/>
      <c r="Q1344" s="83"/>
      <c r="R1344" s="83"/>
      <c r="S1344" s="83"/>
      <c r="T1344" s="83"/>
      <c r="U1344" s="83"/>
      <c r="V1344" s="67"/>
      <c r="W1344" s="83"/>
      <c r="X1344" s="83"/>
      <c r="Y1344" s="67"/>
      <c r="Z1344" s="67"/>
    </row>
    <row r="1345" spans="1:26">
      <c r="A1345" s="83"/>
      <c r="B1345" s="20"/>
      <c r="C1345" s="21"/>
      <c r="D1345" s="20"/>
      <c r="E1345" s="20"/>
      <c r="F1345" s="284"/>
      <c r="G1345" s="36"/>
      <c r="H1345" s="20"/>
      <c r="I1345" s="52"/>
      <c r="J1345" s="89"/>
      <c r="K1345" s="89"/>
      <c r="L1345" s="22"/>
      <c r="M1345" s="20"/>
      <c r="N1345" s="20"/>
      <c r="O1345" s="47"/>
      <c r="P1345" s="118"/>
      <c r="Q1345" s="83"/>
      <c r="R1345" s="83"/>
      <c r="S1345" s="83"/>
      <c r="T1345" s="83"/>
      <c r="U1345" s="83"/>
      <c r="V1345" s="67"/>
      <c r="W1345" s="83"/>
      <c r="X1345" s="83"/>
      <c r="Y1345" s="67"/>
      <c r="Z1345" s="67"/>
    </row>
    <row r="1346" spans="1:26">
      <c r="A1346" s="83"/>
      <c r="B1346" s="20"/>
      <c r="C1346" s="21"/>
      <c r="D1346" s="20"/>
      <c r="E1346" s="20"/>
      <c r="F1346" s="284"/>
      <c r="G1346" s="36"/>
      <c r="H1346" s="20"/>
      <c r="I1346" s="52"/>
      <c r="J1346" s="89"/>
      <c r="K1346" s="89"/>
      <c r="L1346" s="22"/>
      <c r="M1346" s="20"/>
      <c r="N1346" s="20"/>
      <c r="O1346" s="47"/>
      <c r="P1346" s="118"/>
      <c r="Q1346" s="83"/>
      <c r="R1346" s="83"/>
      <c r="S1346" s="83"/>
      <c r="T1346" s="83"/>
      <c r="U1346" s="83"/>
      <c r="V1346" s="67"/>
      <c r="W1346" s="83"/>
      <c r="X1346" s="83"/>
      <c r="Y1346" s="67"/>
      <c r="Z1346" s="67"/>
    </row>
    <row r="1347" spans="1:26">
      <c r="A1347" s="83"/>
      <c r="B1347" s="20"/>
      <c r="C1347" s="21"/>
      <c r="D1347" s="20"/>
      <c r="E1347" s="20"/>
      <c r="F1347" s="284"/>
      <c r="G1347" s="36"/>
      <c r="H1347" s="20"/>
      <c r="I1347" s="52"/>
      <c r="J1347" s="89"/>
      <c r="K1347" s="89"/>
      <c r="L1347" s="22"/>
      <c r="M1347" s="20"/>
      <c r="N1347" s="20"/>
      <c r="O1347" s="47"/>
      <c r="P1347" s="118"/>
      <c r="Q1347" s="83"/>
      <c r="R1347" s="83"/>
      <c r="S1347" s="83"/>
      <c r="T1347" s="83"/>
      <c r="U1347" s="83"/>
      <c r="V1347" s="67"/>
      <c r="W1347" s="83"/>
      <c r="X1347" s="83"/>
      <c r="Y1347" s="67"/>
      <c r="Z1347" s="67"/>
    </row>
    <row r="1348" spans="1:26">
      <c r="A1348" s="83"/>
      <c r="B1348" s="20"/>
      <c r="C1348" s="21"/>
      <c r="D1348" s="20"/>
      <c r="E1348" s="20"/>
      <c r="F1348" s="284"/>
      <c r="G1348" s="36"/>
      <c r="H1348" s="20"/>
      <c r="I1348" s="52"/>
      <c r="J1348" s="89"/>
      <c r="K1348" s="89"/>
      <c r="L1348" s="22"/>
      <c r="M1348" s="20"/>
      <c r="N1348" s="20"/>
      <c r="O1348" s="47"/>
      <c r="P1348" s="118"/>
      <c r="Q1348" s="83"/>
      <c r="R1348" s="83"/>
      <c r="S1348" s="83"/>
      <c r="T1348" s="83"/>
      <c r="U1348" s="83"/>
      <c r="V1348" s="67"/>
      <c r="W1348" s="83"/>
      <c r="X1348" s="83"/>
      <c r="Y1348" s="67"/>
      <c r="Z1348" s="67"/>
    </row>
    <row r="1349" spans="1:26">
      <c r="A1349" s="83"/>
      <c r="B1349" s="20"/>
      <c r="C1349" s="21"/>
      <c r="D1349" s="20"/>
      <c r="E1349" s="20"/>
      <c r="F1349" s="284"/>
      <c r="G1349" s="36"/>
      <c r="H1349" s="20"/>
      <c r="I1349" s="52"/>
      <c r="J1349" s="89"/>
      <c r="K1349" s="89"/>
      <c r="L1349" s="22"/>
      <c r="M1349" s="20"/>
      <c r="N1349" s="20"/>
      <c r="O1349" s="47"/>
      <c r="P1349" s="118"/>
      <c r="Q1349" s="83"/>
      <c r="R1349" s="83"/>
      <c r="S1349" s="83"/>
      <c r="T1349" s="83"/>
      <c r="U1349" s="83"/>
      <c r="V1349" s="67"/>
      <c r="W1349" s="83"/>
      <c r="X1349" s="83"/>
      <c r="Y1349" s="67"/>
      <c r="Z1349" s="67"/>
    </row>
    <row r="1350" spans="1:26">
      <c r="A1350" s="83"/>
      <c r="B1350" s="20"/>
      <c r="C1350" s="21"/>
      <c r="D1350" s="20"/>
      <c r="E1350" s="20"/>
      <c r="F1350" s="284"/>
      <c r="G1350" s="36"/>
      <c r="H1350" s="20"/>
      <c r="I1350" s="52"/>
      <c r="J1350" s="89"/>
      <c r="K1350" s="89"/>
      <c r="L1350" s="22"/>
      <c r="M1350" s="20"/>
      <c r="N1350" s="20"/>
      <c r="O1350" s="47"/>
      <c r="P1350" s="118"/>
      <c r="Q1350" s="83"/>
      <c r="R1350" s="83"/>
      <c r="S1350" s="83"/>
      <c r="T1350" s="83"/>
      <c r="U1350" s="83"/>
      <c r="V1350" s="67"/>
      <c r="W1350" s="83"/>
      <c r="X1350" s="83"/>
      <c r="Y1350" s="67"/>
      <c r="Z1350" s="67"/>
    </row>
    <row r="1351" spans="1:26">
      <c r="A1351" s="83"/>
      <c r="B1351" s="20"/>
      <c r="C1351" s="21"/>
      <c r="D1351" s="20"/>
      <c r="E1351" s="20"/>
      <c r="F1351" s="284"/>
      <c r="G1351" s="36"/>
      <c r="H1351" s="20"/>
      <c r="I1351" s="52"/>
      <c r="J1351" s="89"/>
      <c r="K1351" s="89"/>
      <c r="L1351" s="22"/>
      <c r="M1351" s="20"/>
      <c r="N1351" s="20"/>
      <c r="O1351" s="47"/>
      <c r="P1351" s="118"/>
      <c r="Q1351" s="83"/>
      <c r="R1351" s="83"/>
      <c r="S1351" s="83"/>
      <c r="T1351" s="83"/>
      <c r="U1351" s="83"/>
      <c r="V1351" s="67"/>
      <c r="W1351" s="83"/>
      <c r="X1351" s="83"/>
      <c r="Y1351" s="67"/>
      <c r="Z1351" s="67"/>
    </row>
    <row r="1352" spans="1:26">
      <c r="A1352" s="83"/>
      <c r="B1352" s="20"/>
      <c r="C1352" s="21"/>
      <c r="D1352" s="20"/>
      <c r="E1352" s="20"/>
      <c r="F1352" s="284"/>
      <c r="G1352" s="36"/>
      <c r="H1352" s="20"/>
      <c r="I1352" s="52"/>
      <c r="J1352" s="89"/>
      <c r="K1352" s="89"/>
      <c r="L1352" s="22"/>
      <c r="M1352" s="20"/>
      <c r="N1352" s="20"/>
      <c r="O1352" s="47"/>
      <c r="P1352" s="118"/>
      <c r="Q1352" s="83"/>
      <c r="R1352" s="83"/>
      <c r="S1352" s="83"/>
      <c r="T1352" s="83"/>
      <c r="U1352" s="83"/>
      <c r="V1352" s="67"/>
      <c r="W1352" s="83"/>
      <c r="X1352" s="83"/>
      <c r="Y1352" s="67"/>
      <c r="Z1352" s="67"/>
    </row>
    <row r="1353" spans="1:26">
      <c r="A1353" s="83"/>
      <c r="B1353" s="20"/>
      <c r="C1353" s="21"/>
      <c r="D1353" s="20"/>
      <c r="E1353" s="20"/>
      <c r="F1353" s="284"/>
      <c r="G1353" s="36"/>
      <c r="H1353" s="20"/>
      <c r="I1353" s="52"/>
      <c r="J1353" s="89"/>
      <c r="K1353" s="89"/>
      <c r="L1353" s="22"/>
      <c r="M1353" s="20"/>
      <c r="N1353" s="20"/>
      <c r="O1353" s="47"/>
      <c r="P1353" s="118"/>
      <c r="Q1353" s="83"/>
      <c r="R1353" s="83"/>
      <c r="S1353" s="83"/>
      <c r="T1353" s="83"/>
      <c r="U1353" s="83"/>
      <c r="V1353" s="67"/>
      <c r="W1353" s="83"/>
      <c r="X1353" s="83"/>
      <c r="Y1353" s="67"/>
      <c r="Z1353" s="67"/>
    </row>
    <row r="1354" spans="1:26">
      <c r="A1354" s="83"/>
      <c r="B1354" s="20"/>
      <c r="C1354" s="21"/>
      <c r="D1354" s="20"/>
      <c r="E1354" s="20"/>
      <c r="F1354" s="284"/>
      <c r="G1354" s="36"/>
      <c r="H1354" s="20"/>
      <c r="I1354" s="52"/>
      <c r="J1354" s="89"/>
      <c r="K1354" s="89"/>
      <c r="L1354" s="22"/>
      <c r="M1354" s="20"/>
      <c r="N1354" s="20"/>
      <c r="O1354" s="47"/>
      <c r="P1354" s="118"/>
      <c r="Q1354" s="83"/>
      <c r="R1354" s="83"/>
      <c r="S1354" s="83"/>
      <c r="T1354" s="83"/>
      <c r="U1354" s="83"/>
      <c r="V1354" s="67"/>
      <c r="W1354" s="83"/>
      <c r="X1354" s="83"/>
      <c r="Y1354" s="67"/>
      <c r="Z1354" s="67"/>
    </row>
    <row r="1355" spans="1:26">
      <c r="A1355" s="83"/>
      <c r="B1355" s="20"/>
      <c r="C1355" s="21"/>
      <c r="D1355" s="20"/>
      <c r="E1355" s="20"/>
      <c r="F1355" s="284"/>
      <c r="G1355" s="36"/>
      <c r="H1355" s="20"/>
      <c r="I1355" s="52"/>
      <c r="J1355" s="89"/>
      <c r="K1355" s="89"/>
      <c r="L1355" s="22"/>
      <c r="M1355" s="20"/>
      <c r="N1355" s="20"/>
      <c r="O1355" s="47"/>
      <c r="P1355" s="118"/>
      <c r="Q1355" s="83"/>
      <c r="R1355" s="83"/>
      <c r="S1355" s="83"/>
      <c r="T1355" s="83"/>
      <c r="U1355" s="83"/>
      <c r="V1355" s="67"/>
      <c r="W1355" s="83"/>
      <c r="X1355" s="83"/>
      <c r="Y1355" s="67"/>
      <c r="Z1355" s="67"/>
    </row>
    <row r="1356" spans="1:26">
      <c r="A1356" s="83"/>
      <c r="B1356" s="20"/>
      <c r="C1356" s="21"/>
      <c r="D1356" s="20"/>
      <c r="E1356" s="20"/>
      <c r="F1356" s="284"/>
      <c r="G1356" s="36"/>
      <c r="H1356" s="20"/>
      <c r="I1356" s="52"/>
      <c r="J1356" s="89"/>
      <c r="K1356" s="89"/>
      <c r="L1356" s="22"/>
      <c r="M1356" s="20"/>
      <c r="N1356" s="20"/>
      <c r="O1356" s="47"/>
      <c r="P1356" s="118"/>
      <c r="Q1356" s="83"/>
      <c r="R1356" s="83"/>
      <c r="S1356" s="83"/>
      <c r="T1356" s="83"/>
      <c r="U1356" s="83"/>
      <c r="V1356" s="67"/>
      <c r="W1356" s="83"/>
      <c r="X1356" s="83"/>
      <c r="Y1356" s="67"/>
      <c r="Z1356" s="67"/>
    </row>
    <row r="1357" spans="1:26">
      <c r="A1357" s="83"/>
      <c r="B1357" s="20"/>
      <c r="C1357" s="21"/>
      <c r="D1357" s="20"/>
      <c r="E1357" s="20"/>
      <c r="F1357" s="284"/>
      <c r="G1357" s="36"/>
      <c r="H1357" s="20"/>
      <c r="I1357" s="52"/>
      <c r="J1357" s="89"/>
      <c r="K1357" s="89"/>
      <c r="L1357" s="22"/>
      <c r="M1357" s="20"/>
      <c r="N1357" s="20"/>
      <c r="O1357" s="47"/>
      <c r="P1357" s="118"/>
      <c r="Q1357" s="83"/>
      <c r="R1357" s="83"/>
      <c r="S1357" s="83"/>
      <c r="T1357" s="83"/>
      <c r="U1357" s="83"/>
      <c r="V1357" s="67"/>
      <c r="W1357" s="83"/>
      <c r="X1357" s="83"/>
      <c r="Y1357" s="67"/>
      <c r="Z1357" s="67"/>
    </row>
    <row r="1358" spans="1:26">
      <c r="A1358" s="83"/>
      <c r="B1358" s="20"/>
      <c r="C1358" s="21"/>
      <c r="D1358" s="20"/>
      <c r="E1358" s="20"/>
      <c r="F1358" s="284"/>
      <c r="G1358" s="36"/>
      <c r="H1358" s="20"/>
      <c r="I1358" s="52"/>
      <c r="J1358" s="89"/>
      <c r="K1358" s="89"/>
      <c r="L1358" s="22"/>
      <c r="M1358" s="20"/>
      <c r="N1358" s="20"/>
      <c r="O1358" s="47"/>
      <c r="P1358" s="118"/>
      <c r="Q1358" s="83"/>
      <c r="R1358" s="83"/>
      <c r="S1358" s="83"/>
      <c r="T1358" s="83"/>
      <c r="U1358" s="83"/>
      <c r="V1358" s="67"/>
      <c r="W1358" s="83"/>
      <c r="X1358" s="83"/>
      <c r="Y1358" s="67"/>
      <c r="Z1358" s="67"/>
    </row>
    <row r="1359" spans="1:26">
      <c r="A1359" s="83"/>
      <c r="B1359" s="20"/>
      <c r="C1359" s="21"/>
      <c r="D1359" s="20"/>
      <c r="E1359" s="20"/>
      <c r="F1359" s="284"/>
      <c r="G1359" s="36"/>
      <c r="H1359" s="20"/>
      <c r="I1359" s="52"/>
      <c r="J1359" s="89"/>
      <c r="K1359" s="89"/>
      <c r="L1359" s="22"/>
      <c r="M1359" s="20"/>
      <c r="N1359" s="20"/>
      <c r="O1359" s="47"/>
      <c r="P1359" s="118"/>
      <c r="Q1359" s="83"/>
      <c r="R1359" s="83"/>
      <c r="S1359" s="83"/>
      <c r="T1359" s="83"/>
      <c r="U1359" s="83"/>
      <c r="V1359" s="67"/>
      <c r="W1359" s="83"/>
      <c r="X1359" s="83"/>
      <c r="Y1359" s="67"/>
      <c r="Z1359" s="67"/>
    </row>
    <row r="1360" spans="1:26">
      <c r="A1360" s="83"/>
      <c r="B1360" s="20"/>
      <c r="C1360" s="21"/>
      <c r="D1360" s="20"/>
      <c r="E1360" s="20"/>
      <c r="F1360" s="284"/>
      <c r="G1360" s="36"/>
      <c r="H1360" s="20"/>
      <c r="I1360" s="52"/>
      <c r="J1360" s="89"/>
      <c r="K1360" s="89"/>
      <c r="L1360" s="22"/>
      <c r="M1360" s="20"/>
      <c r="N1360" s="20"/>
      <c r="O1360" s="47"/>
      <c r="P1360" s="118"/>
      <c r="Q1360" s="83"/>
      <c r="R1360" s="83"/>
      <c r="S1360" s="83"/>
      <c r="T1360" s="83"/>
      <c r="U1360" s="83"/>
      <c r="V1360" s="67"/>
      <c r="W1360" s="83"/>
      <c r="X1360" s="83"/>
      <c r="Y1360" s="67"/>
      <c r="Z1360" s="67"/>
    </row>
    <row r="1361" spans="1:26">
      <c r="A1361" s="83"/>
      <c r="B1361" s="20"/>
      <c r="C1361" s="21"/>
      <c r="D1361" s="20"/>
      <c r="E1361" s="20"/>
      <c r="F1361" s="284"/>
      <c r="G1361" s="36"/>
      <c r="H1361" s="20"/>
      <c r="I1361" s="52"/>
      <c r="J1361" s="89"/>
      <c r="K1361" s="89"/>
      <c r="L1361" s="22"/>
      <c r="M1361" s="20"/>
      <c r="N1361" s="20"/>
      <c r="O1361" s="47"/>
      <c r="P1361" s="118"/>
      <c r="Q1361" s="83"/>
      <c r="R1361" s="83"/>
      <c r="S1361" s="83"/>
      <c r="T1361" s="83"/>
      <c r="U1361" s="83"/>
      <c r="V1361" s="67"/>
      <c r="W1361" s="83"/>
      <c r="X1361" s="83"/>
      <c r="Y1361" s="67"/>
      <c r="Z1361" s="67"/>
    </row>
    <row r="1362" spans="1:26">
      <c r="A1362" s="83"/>
      <c r="B1362" s="20"/>
      <c r="C1362" s="21"/>
      <c r="D1362" s="20"/>
      <c r="E1362" s="20"/>
      <c r="F1362" s="284"/>
      <c r="G1362" s="36"/>
      <c r="H1362" s="20"/>
      <c r="I1362" s="52"/>
      <c r="J1362" s="89"/>
      <c r="K1362" s="89"/>
      <c r="L1362" s="22"/>
      <c r="M1362" s="20"/>
      <c r="N1362" s="20"/>
      <c r="O1362" s="47"/>
      <c r="P1362" s="118"/>
      <c r="Q1362" s="83"/>
      <c r="R1362" s="83"/>
      <c r="S1362" s="83"/>
      <c r="T1362" s="83"/>
      <c r="U1362" s="83"/>
      <c r="V1362" s="67"/>
      <c r="W1362" s="83"/>
      <c r="X1362" s="83"/>
      <c r="Y1362" s="67"/>
      <c r="Z1362" s="67"/>
    </row>
    <row r="1363" spans="1:26">
      <c r="A1363" s="83"/>
      <c r="B1363" s="20"/>
      <c r="C1363" s="21"/>
      <c r="D1363" s="20"/>
      <c r="E1363" s="20"/>
      <c r="F1363" s="284"/>
      <c r="G1363" s="36"/>
      <c r="H1363" s="20"/>
      <c r="I1363" s="52"/>
      <c r="J1363" s="89"/>
      <c r="K1363" s="89"/>
      <c r="L1363" s="22"/>
      <c r="M1363" s="20"/>
      <c r="N1363" s="20"/>
      <c r="O1363" s="47"/>
      <c r="P1363" s="118"/>
      <c r="Q1363" s="83"/>
      <c r="R1363" s="83"/>
      <c r="S1363" s="83"/>
      <c r="T1363" s="83"/>
      <c r="U1363" s="83"/>
      <c r="V1363" s="67"/>
      <c r="W1363" s="83"/>
      <c r="X1363" s="83"/>
      <c r="Y1363" s="67"/>
      <c r="Z1363" s="67"/>
    </row>
    <row r="1364" spans="1:26">
      <c r="A1364" s="83"/>
      <c r="B1364" s="20"/>
      <c r="C1364" s="21"/>
      <c r="D1364" s="20"/>
      <c r="E1364" s="20"/>
      <c r="F1364" s="284"/>
      <c r="G1364" s="36"/>
      <c r="H1364" s="20"/>
      <c r="I1364" s="52"/>
      <c r="J1364" s="89"/>
      <c r="K1364" s="89"/>
      <c r="L1364" s="22"/>
      <c r="M1364" s="20"/>
      <c r="N1364" s="20"/>
      <c r="O1364" s="47"/>
      <c r="P1364" s="118"/>
      <c r="Q1364" s="83"/>
      <c r="R1364" s="83"/>
      <c r="S1364" s="83"/>
      <c r="T1364" s="83"/>
      <c r="U1364" s="83"/>
      <c r="V1364" s="67"/>
      <c r="W1364" s="83"/>
      <c r="X1364" s="83"/>
      <c r="Y1364" s="67"/>
      <c r="Z1364" s="67"/>
    </row>
    <row r="1365" spans="1:26">
      <c r="A1365" s="83"/>
      <c r="B1365" s="20"/>
      <c r="C1365" s="21"/>
      <c r="D1365" s="20"/>
      <c r="E1365" s="20"/>
      <c r="F1365" s="284"/>
      <c r="G1365" s="36"/>
      <c r="H1365" s="20"/>
      <c r="I1365" s="52"/>
      <c r="J1365" s="89"/>
      <c r="K1365" s="89"/>
      <c r="L1365" s="22"/>
      <c r="M1365" s="20"/>
      <c r="N1365" s="20"/>
      <c r="O1365" s="47"/>
      <c r="P1365" s="118"/>
      <c r="Q1365" s="83"/>
      <c r="R1365" s="83"/>
      <c r="S1365" s="83"/>
      <c r="T1365" s="83"/>
      <c r="U1365" s="83"/>
      <c r="V1365" s="67"/>
      <c r="W1365" s="83"/>
      <c r="X1365" s="83"/>
      <c r="Y1365" s="67"/>
      <c r="Z1365" s="67"/>
    </row>
    <row r="1366" spans="1:26">
      <c r="A1366" s="83"/>
      <c r="B1366" s="20"/>
      <c r="C1366" s="21"/>
      <c r="D1366" s="20"/>
      <c r="E1366" s="20"/>
      <c r="F1366" s="284"/>
      <c r="G1366" s="36"/>
      <c r="H1366" s="20"/>
      <c r="I1366" s="52"/>
      <c r="J1366" s="89"/>
      <c r="K1366" s="89"/>
      <c r="L1366" s="22"/>
      <c r="M1366" s="20"/>
      <c r="N1366" s="20"/>
      <c r="O1366" s="47"/>
      <c r="P1366" s="118"/>
      <c r="Q1366" s="83"/>
      <c r="R1366" s="83"/>
      <c r="S1366" s="83"/>
      <c r="T1366" s="83"/>
      <c r="U1366" s="83"/>
      <c r="V1366" s="67"/>
      <c r="W1366" s="83"/>
      <c r="X1366" s="83"/>
      <c r="Y1366" s="67"/>
      <c r="Z1366" s="67"/>
    </row>
    <row r="1367" spans="1:26">
      <c r="A1367" s="83"/>
      <c r="B1367" s="20"/>
      <c r="C1367" s="21"/>
      <c r="D1367" s="20"/>
      <c r="E1367" s="20"/>
      <c r="F1367" s="284"/>
      <c r="G1367" s="36"/>
      <c r="H1367" s="20"/>
      <c r="I1367" s="52"/>
      <c r="J1367" s="89"/>
      <c r="K1367" s="89"/>
      <c r="L1367" s="22"/>
      <c r="M1367" s="20"/>
      <c r="N1367" s="20"/>
      <c r="O1367" s="47"/>
      <c r="P1367" s="118"/>
      <c r="Q1367" s="83"/>
      <c r="R1367" s="83"/>
      <c r="S1367" s="83"/>
      <c r="T1367" s="83"/>
      <c r="U1367" s="83"/>
      <c r="V1367" s="67"/>
      <c r="W1367" s="83"/>
      <c r="X1367" s="83"/>
      <c r="Y1367" s="67"/>
      <c r="Z1367" s="67"/>
    </row>
    <row r="1368" spans="1:26">
      <c r="A1368" s="83"/>
      <c r="B1368" s="20"/>
      <c r="C1368" s="21"/>
      <c r="D1368" s="20"/>
      <c r="E1368" s="20"/>
      <c r="F1368" s="284"/>
      <c r="G1368" s="36"/>
      <c r="H1368" s="20"/>
      <c r="I1368" s="52"/>
      <c r="J1368" s="89"/>
      <c r="K1368" s="89"/>
      <c r="L1368" s="22"/>
      <c r="M1368" s="20"/>
      <c r="N1368" s="20"/>
      <c r="O1368" s="47"/>
      <c r="P1368" s="118"/>
      <c r="Q1368" s="83"/>
      <c r="R1368" s="83"/>
      <c r="S1368" s="83"/>
      <c r="T1368" s="83"/>
      <c r="U1368" s="83"/>
      <c r="V1368" s="67"/>
      <c r="W1368" s="83"/>
      <c r="X1368" s="83"/>
      <c r="Y1368" s="67"/>
      <c r="Z1368" s="67"/>
    </row>
    <row r="1369" spans="1:26">
      <c r="A1369" s="83"/>
      <c r="B1369" s="20"/>
      <c r="C1369" s="21"/>
      <c r="D1369" s="20"/>
      <c r="E1369" s="20"/>
      <c r="F1369" s="284"/>
      <c r="G1369" s="36"/>
      <c r="H1369" s="20"/>
      <c r="I1369" s="52"/>
      <c r="J1369" s="89"/>
      <c r="K1369" s="89"/>
      <c r="L1369" s="22"/>
      <c r="M1369" s="20"/>
      <c r="N1369" s="20"/>
      <c r="O1369" s="47"/>
      <c r="P1369" s="118"/>
      <c r="Q1369" s="83"/>
      <c r="R1369" s="83"/>
      <c r="S1369" s="83"/>
      <c r="T1369" s="83"/>
      <c r="U1369" s="83"/>
      <c r="V1369" s="67"/>
      <c r="W1369" s="83"/>
      <c r="X1369" s="83"/>
      <c r="Y1369" s="67"/>
      <c r="Z1369" s="67"/>
    </row>
    <row r="1370" spans="1:26">
      <c r="A1370" s="83"/>
      <c r="B1370" s="20"/>
      <c r="C1370" s="21"/>
      <c r="D1370" s="20"/>
      <c r="E1370" s="20"/>
      <c r="F1370" s="284"/>
      <c r="G1370" s="36"/>
      <c r="H1370" s="20"/>
      <c r="I1370" s="52"/>
      <c r="J1370" s="89"/>
      <c r="K1370" s="89"/>
      <c r="L1370" s="22"/>
      <c r="M1370" s="20"/>
      <c r="N1370" s="20"/>
      <c r="O1370" s="47"/>
      <c r="P1370" s="118"/>
      <c r="Q1370" s="83"/>
      <c r="R1370" s="83"/>
      <c r="S1370" s="83"/>
      <c r="T1370" s="83"/>
      <c r="U1370" s="83"/>
      <c r="V1370" s="67"/>
      <c r="W1370" s="83"/>
      <c r="X1370" s="83"/>
      <c r="Y1370" s="67"/>
      <c r="Z1370" s="67"/>
    </row>
    <row r="1371" spans="1:26">
      <c r="A1371" s="83"/>
      <c r="B1371" s="20"/>
      <c r="C1371" s="21"/>
      <c r="D1371" s="20"/>
      <c r="E1371" s="20"/>
      <c r="F1371" s="284"/>
      <c r="G1371" s="36"/>
      <c r="H1371" s="20"/>
      <c r="I1371" s="52"/>
      <c r="J1371" s="89"/>
      <c r="K1371" s="89"/>
      <c r="L1371" s="22"/>
      <c r="M1371" s="20"/>
      <c r="N1371" s="20"/>
      <c r="O1371" s="47"/>
      <c r="P1371" s="118"/>
      <c r="Q1371" s="83"/>
      <c r="R1371" s="83"/>
      <c r="S1371" s="83"/>
      <c r="T1371" s="83"/>
      <c r="U1371" s="83"/>
      <c r="V1371" s="67"/>
      <c r="W1371" s="83"/>
      <c r="X1371" s="83"/>
      <c r="Y1371" s="67"/>
      <c r="Z1371" s="67"/>
    </row>
    <row r="1372" spans="1:26">
      <c r="A1372" s="83"/>
      <c r="B1372" s="20"/>
      <c r="C1372" s="21"/>
      <c r="D1372" s="20"/>
      <c r="E1372" s="20"/>
      <c r="F1372" s="284"/>
      <c r="G1372" s="36"/>
      <c r="H1372" s="20"/>
      <c r="I1372" s="52"/>
      <c r="J1372" s="89"/>
      <c r="K1372" s="89"/>
      <c r="L1372" s="22"/>
      <c r="M1372" s="20"/>
      <c r="N1372" s="20"/>
      <c r="O1372" s="47"/>
      <c r="P1372" s="118"/>
      <c r="Q1372" s="83"/>
      <c r="R1372" s="83"/>
      <c r="S1372" s="83"/>
      <c r="T1372" s="83"/>
      <c r="U1372" s="83"/>
      <c r="V1372" s="67"/>
      <c r="W1372" s="83"/>
      <c r="X1372" s="83"/>
      <c r="Y1372" s="67"/>
      <c r="Z1372" s="67"/>
    </row>
    <row r="1373" spans="1:26">
      <c r="A1373" s="83"/>
      <c r="B1373" s="20"/>
      <c r="C1373" s="21"/>
      <c r="D1373" s="20"/>
      <c r="E1373" s="20"/>
      <c r="F1373" s="284"/>
      <c r="G1373" s="36"/>
      <c r="H1373" s="20"/>
      <c r="I1373" s="52"/>
      <c r="J1373" s="89"/>
      <c r="K1373" s="89"/>
      <c r="L1373" s="22"/>
      <c r="M1373" s="20"/>
      <c r="N1373" s="20"/>
      <c r="O1373" s="47"/>
      <c r="P1373" s="118"/>
      <c r="Q1373" s="83"/>
      <c r="R1373" s="83"/>
      <c r="S1373" s="83"/>
      <c r="T1373" s="83"/>
      <c r="U1373" s="83"/>
      <c r="V1373" s="67"/>
      <c r="W1373" s="83"/>
      <c r="X1373" s="83"/>
      <c r="Y1373" s="67"/>
      <c r="Z1373" s="67"/>
    </row>
    <row r="1374" spans="1:26">
      <c r="A1374" s="83"/>
      <c r="B1374" s="20"/>
      <c r="C1374" s="21"/>
      <c r="D1374" s="20"/>
      <c r="E1374" s="20"/>
      <c r="F1374" s="284"/>
      <c r="G1374" s="36"/>
      <c r="H1374" s="20"/>
      <c r="I1374" s="52"/>
      <c r="J1374" s="89"/>
      <c r="K1374" s="89"/>
      <c r="L1374" s="22"/>
      <c r="M1374" s="20"/>
      <c r="N1374" s="20"/>
      <c r="O1374" s="47"/>
      <c r="P1374" s="118"/>
      <c r="Q1374" s="83"/>
      <c r="R1374" s="83"/>
      <c r="S1374" s="83"/>
      <c r="T1374" s="83"/>
      <c r="U1374" s="83"/>
      <c r="V1374" s="67"/>
      <c r="W1374" s="83"/>
      <c r="X1374" s="83"/>
      <c r="Y1374" s="67"/>
      <c r="Z1374" s="67"/>
    </row>
    <row r="1375" spans="1:26">
      <c r="A1375" s="83"/>
      <c r="B1375" s="20"/>
      <c r="C1375" s="21"/>
      <c r="D1375" s="20"/>
      <c r="E1375" s="20"/>
      <c r="F1375" s="284"/>
      <c r="G1375" s="36"/>
      <c r="H1375" s="20"/>
      <c r="I1375" s="52"/>
      <c r="J1375" s="89"/>
      <c r="K1375" s="89"/>
      <c r="L1375" s="22"/>
      <c r="M1375" s="20"/>
      <c r="N1375" s="20"/>
      <c r="O1375" s="47"/>
      <c r="P1375" s="118"/>
      <c r="Q1375" s="83"/>
      <c r="R1375" s="83"/>
      <c r="S1375" s="83"/>
      <c r="T1375" s="83"/>
      <c r="U1375" s="83"/>
      <c r="V1375" s="67"/>
      <c r="W1375" s="83"/>
      <c r="X1375" s="83"/>
      <c r="Y1375" s="67"/>
      <c r="Z1375" s="67"/>
    </row>
    <row r="1376" spans="1:26">
      <c r="A1376" s="83"/>
      <c r="B1376" s="20"/>
      <c r="C1376" s="21"/>
      <c r="D1376" s="20"/>
      <c r="E1376" s="20"/>
      <c r="F1376" s="284"/>
      <c r="G1376" s="36"/>
      <c r="H1376" s="20"/>
      <c r="I1376" s="52"/>
      <c r="J1376" s="89"/>
      <c r="K1376" s="89"/>
      <c r="L1376" s="22"/>
      <c r="M1376" s="20"/>
      <c r="N1376" s="20"/>
      <c r="O1376" s="47"/>
      <c r="P1376" s="118"/>
      <c r="Q1376" s="83"/>
      <c r="R1376" s="83"/>
      <c r="S1376" s="83"/>
      <c r="T1376" s="83"/>
      <c r="U1376" s="83"/>
      <c r="V1376" s="67"/>
      <c r="W1376" s="83"/>
      <c r="X1376" s="83"/>
      <c r="Y1376" s="67"/>
      <c r="Z1376" s="67"/>
    </row>
    <row r="1377" spans="1:26">
      <c r="A1377" s="83"/>
      <c r="B1377" s="20"/>
      <c r="C1377" s="21"/>
      <c r="D1377" s="20"/>
      <c r="E1377" s="20"/>
      <c r="F1377" s="284"/>
      <c r="G1377" s="36"/>
      <c r="H1377" s="20"/>
      <c r="I1377" s="52"/>
      <c r="J1377" s="89"/>
      <c r="K1377" s="89"/>
      <c r="L1377" s="22"/>
      <c r="M1377" s="20"/>
      <c r="N1377" s="20"/>
      <c r="O1377" s="47"/>
      <c r="P1377" s="118"/>
      <c r="Q1377" s="83"/>
      <c r="R1377" s="83"/>
      <c r="S1377" s="83"/>
      <c r="T1377" s="83"/>
      <c r="U1377" s="83"/>
      <c r="V1377" s="67"/>
      <c r="W1377" s="83"/>
      <c r="X1377" s="83"/>
      <c r="Y1377" s="67"/>
      <c r="Z1377" s="67"/>
    </row>
    <row r="1378" spans="1:26">
      <c r="A1378" s="83"/>
      <c r="B1378" s="20"/>
      <c r="C1378" s="21"/>
      <c r="D1378" s="20"/>
      <c r="E1378" s="20"/>
      <c r="F1378" s="284"/>
      <c r="G1378" s="36"/>
      <c r="H1378" s="20"/>
      <c r="I1378" s="52"/>
      <c r="J1378" s="89"/>
      <c r="K1378" s="89"/>
      <c r="L1378" s="22"/>
      <c r="M1378" s="20"/>
      <c r="N1378" s="20"/>
      <c r="O1378" s="47"/>
      <c r="P1378" s="118"/>
      <c r="Q1378" s="83"/>
      <c r="R1378" s="83"/>
      <c r="S1378" s="83"/>
      <c r="T1378" s="83"/>
      <c r="U1378" s="83"/>
      <c r="V1378" s="67"/>
      <c r="W1378" s="83"/>
      <c r="X1378" s="83"/>
      <c r="Y1378" s="67"/>
      <c r="Z1378" s="67"/>
    </row>
    <row r="1379" spans="1:26">
      <c r="A1379" s="83"/>
      <c r="B1379" s="20"/>
      <c r="C1379" s="21"/>
      <c r="D1379" s="20"/>
      <c r="E1379" s="20"/>
      <c r="F1379" s="284"/>
      <c r="G1379" s="36"/>
      <c r="H1379" s="20"/>
      <c r="I1379" s="52"/>
      <c r="J1379" s="89"/>
      <c r="K1379" s="89"/>
      <c r="L1379" s="22"/>
      <c r="M1379" s="20"/>
      <c r="N1379" s="20"/>
      <c r="O1379" s="47"/>
      <c r="P1379" s="118"/>
      <c r="Q1379" s="83"/>
      <c r="R1379" s="83"/>
      <c r="S1379" s="83"/>
      <c r="T1379" s="83"/>
      <c r="U1379" s="83"/>
      <c r="V1379" s="67"/>
      <c r="W1379" s="83"/>
      <c r="X1379" s="83"/>
      <c r="Y1379" s="67"/>
      <c r="Z1379" s="67"/>
    </row>
    <row r="1380" spans="1:26">
      <c r="A1380" s="83"/>
      <c r="B1380" s="20"/>
      <c r="C1380" s="21"/>
      <c r="D1380" s="20"/>
      <c r="E1380" s="20"/>
      <c r="F1380" s="284"/>
      <c r="G1380" s="36"/>
      <c r="H1380" s="20"/>
      <c r="I1380" s="52"/>
      <c r="J1380" s="89"/>
      <c r="K1380" s="89"/>
      <c r="L1380" s="22"/>
      <c r="M1380" s="20"/>
      <c r="N1380" s="20"/>
      <c r="O1380" s="47"/>
      <c r="P1380" s="118"/>
      <c r="Q1380" s="83"/>
      <c r="R1380" s="83"/>
      <c r="S1380" s="83"/>
      <c r="T1380" s="83"/>
      <c r="U1380" s="83"/>
      <c r="V1380" s="67"/>
      <c r="W1380" s="83"/>
      <c r="X1380" s="83"/>
      <c r="Y1380" s="67"/>
      <c r="Z1380" s="67"/>
    </row>
    <row r="1381" spans="1:26">
      <c r="A1381" s="83"/>
      <c r="B1381" s="20"/>
      <c r="C1381" s="21"/>
      <c r="D1381" s="20"/>
      <c r="E1381" s="20"/>
      <c r="F1381" s="284"/>
      <c r="G1381" s="36"/>
      <c r="H1381" s="20"/>
      <c r="I1381" s="52"/>
      <c r="J1381" s="89"/>
      <c r="K1381" s="89"/>
      <c r="L1381" s="22"/>
      <c r="M1381" s="20"/>
      <c r="N1381" s="20"/>
      <c r="O1381" s="47"/>
      <c r="P1381" s="118"/>
      <c r="Q1381" s="83"/>
      <c r="R1381" s="83"/>
      <c r="S1381" s="83"/>
      <c r="T1381" s="83"/>
      <c r="U1381" s="83"/>
      <c r="V1381" s="67"/>
      <c r="W1381" s="83"/>
      <c r="X1381" s="83"/>
      <c r="Y1381" s="67"/>
      <c r="Z1381" s="67"/>
    </row>
    <row r="1382" spans="1:26">
      <c r="A1382" s="83"/>
      <c r="B1382" s="20"/>
      <c r="C1382" s="21"/>
      <c r="D1382" s="20"/>
      <c r="E1382" s="20"/>
      <c r="F1382" s="284"/>
      <c r="G1382" s="36"/>
      <c r="H1382" s="20"/>
      <c r="I1382" s="52"/>
      <c r="J1382" s="89"/>
      <c r="K1382" s="89"/>
      <c r="L1382" s="22"/>
      <c r="M1382" s="20"/>
      <c r="N1382" s="20"/>
      <c r="O1382" s="47"/>
      <c r="P1382" s="118"/>
      <c r="Q1382" s="83"/>
      <c r="R1382" s="83"/>
      <c r="S1382" s="83"/>
      <c r="T1382" s="83"/>
      <c r="U1382" s="83"/>
      <c r="V1382" s="67"/>
      <c r="W1382" s="83"/>
      <c r="X1382" s="83"/>
      <c r="Y1382" s="67"/>
      <c r="Z1382" s="67"/>
    </row>
    <row r="1383" spans="1:26">
      <c r="A1383" s="83"/>
      <c r="B1383" s="20"/>
      <c r="C1383" s="21"/>
      <c r="D1383" s="20"/>
      <c r="E1383" s="20"/>
      <c r="F1383" s="284"/>
      <c r="G1383" s="36"/>
      <c r="H1383" s="20"/>
      <c r="I1383" s="52"/>
      <c r="J1383" s="89"/>
      <c r="K1383" s="89"/>
      <c r="L1383" s="22"/>
      <c r="M1383" s="20"/>
      <c r="N1383" s="20"/>
      <c r="O1383" s="47"/>
      <c r="P1383" s="118"/>
      <c r="Q1383" s="83"/>
      <c r="R1383" s="83"/>
      <c r="S1383" s="83"/>
      <c r="T1383" s="83"/>
      <c r="U1383" s="83"/>
      <c r="V1383" s="67"/>
      <c r="W1383" s="83"/>
      <c r="X1383" s="83"/>
      <c r="Y1383" s="67"/>
      <c r="Z1383" s="67"/>
    </row>
    <row r="1384" spans="1:26">
      <c r="A1384" s="83"/>
      <c r="B1384" s="20"/>
      <c r="C1384" s="21"/>
      <c r="D1384" s="20"/>
      <c r="E1384" s="20"/>
      <c r="F1384" s="284"/>
      <c r="G1384" s="36"/>
      <c r="H1384" s="20"/>
      <c r="I1384" s="52"/>
      <c r="J1384" s="89"/>
      <c r="K1384" s="89"/>
      <c r="L1384" s="22"/>
      <c r="M1384" s="20"/>
      <c r="N1384" s="20"/>
      <c r="O1384" s="47"/>
      <c r="P1384" s="118"/>
      <c r="Q1384" s="83"/>
      <c r="R1384" s="83"/>
      <c r="S1384" s="83"/>
      <c r="T1384" s="83"/>
      <c r="U1384" s="83"/>
      <c r="V1384" s="67"/>
      <c r="W1384" s="83"/>
      <c r="X1384" s="83"/>
      <c r="Y1384" s="67"/>
      <c r="Z1384" s="67"/>
    </row>
    <row r="1385" spans="1:26">
      <c r="A1385" s="83"/>
      <c r="B1385" s="20"/>
      <c r="C1385" s="21"/>
      <c r="D1385" s="20"/>
      <c r="E1385" s="20"/>
      <c r="F1385" s="284"/>
      <c r="G1385" s="36"/>
      <c r="H1385" s="20"/>
      <c r="I1385" s="52"/>
      <c r="J1385" s="89"/>
      <c r="K1385" s="89"/>
      <c r="L1385" s="22"/>
      <c r="M1385" s="20"/>
      <c r="N1385" s="20"/>
      <c r="O1385" s="47"/>
      <c r="P1385" s="118"/>
      <c r="Q1385" s="83"/>
      <c r="R1385" s="83"/>
      <c r="S1385" s="83"/>
      <c r="T1385" s="83"/>
      <c r="U1385" s="83"/>
      <c r="V1385" s="67"/>
      <c r="W1385" s="83"/>
      <c r="X1385" s="83"/>
      <c r="Y1385" s="67"/>
      <c r="Z1385" s="67"/>
    </row>
    <row r="1386" spans="1:26">
      <c r="A1386" s="83"/>
      <c r="B1386" s="20"/>
      <c r="C1386" s="21"/>
      <c r="D1386" s="20"/>
      <c r="E1386" s="20"/>
      <c r="F1386" s="284"/>
      <c r="G1386" s="36"/>
      <c r="H1386" s="20"/>
      <c r="I1386" s="52"/>
      <c r="J1386" s="89"/>
      <c r="K1386" s="89"/>
      <c r="L1386" s="22"/>
      <c r="M1386" s="20"/>
      <c r="N1386" s="20"/>
      <c r="O1386" s="47"/>
      <c r="P1386" s="118"/>
      <c r="Q1386" s="83"/>
      <c r="R1386" s="83"/>
      <c r="S1386" s="83"/>
      <c r="T1386" s="83"/>
      <c r="U1386" s="83"/>
      <c r="V1386" s="67"/>
      <c r="W1386" s="83"/>
      <c r="X1386" s="83"/>
      <c r="Y1386" s="67"/>
      <c r="Z1386" s="67"/>
    </row>
    <row r="1387" spans="1:26">
      <c r="A1387" s="83"/>
      <c r="B1387" s="20"/>
      <c r="C1387" s="21"/>
      <c r="D1387" s="20"/>
      <c r="E1387" s="20"/>
      <c r="F1387" s="284"/>
      <c r="G1387" s="36"/>
      <c r="H1387" s="20"/>
      <c r="I1387" s="52"/>
      <c r="J1387" s="89"/>
      <c r="K1387" s="89"/>
      <c r="L1387" s="22"/>
      <c r="M1387" s="20"/>
      <c r="N1387" s="20"/>
      <c r="O1387" s="47"/>
      <c r="P1387" s="118"/>
      <c r="Q1387" s="83"/>
      <c r="R1387" s="83"/>
      <c r="S1387" s="83"/>
      <c r="T1387" s="83"/>
      <c r="U1387" s="83"/>
      <c r="V1387" s="67"/>
      <c r="W1387" s="83"/>
      <c r="X1387" s="83"/>
      <c r="Y1387" s="67"/>
      <c r="Z1387" s="67"/>
    </row>
    <row r="1388" spans="1:26">
      <c r="A1388" s="83"/>
      <c r="B1388" s="20"/>
      <c r="C1388" s="21"/>
      <c r="D1388" s="20"/>
      <c r="E1388" s="20"/>
      <c r="F1388" s="284"/>
      <c r="G1388" s="36"/>
      <c r="H1388" s="20"/>
      <c r="I1388" s="52"/>
      <c r="J1388" s="89"/>
      <c r="K1388" s="89"/>
      <c r="L1388" s="22"/>
      <c r="M1388" s="20"/>
      <c r="N1388" s="20"/>
      <c r="O1388" s="47"/>
      <c r="P1388" s="118"/>
      <c r="Q1388" s="83"/>
      <c r="R1388" s="83"/>
      <c r="S1388" s="83"/>
      <c r="T1388" s="83"/>
      <c r="U1388" s="83"/>
      <c r="V1388" s="67"/>
      <c r="W1388" s="83"/>
      <c r="X1388" s="83"/>
      <c r="Y1388" s="67"/>
      <c r="Z1388" s="67"/>
    </row>
    <row r="1389" spans="1:26">
      <c r="A1389" s="83"/>
      <c r="B1389" s="20"/>
      <c r="C1389" s="21"/>
      <c r="D1389" s="20"/>
      <c r="E1389" s="20"/>
      <c r="F1389" s="284"/>
      <c r="G1389" s="36"/>
      <c r="H1389" s="20"/>
      <c r="I1389" s="52"/>
      <c r="J1389" s="89"/>
      <c r="K1389" s="89"/>
      <c r="L1389" s="22"/>
      <c r="M1389" s="20"/>
      <c r="N1389" s="20"/>
      <c r="O1389" s="47"/>
      <c r="P1389" s="118"/>
      <c r="Q1389" s="83"/>
      <c r="R1389" s="83"/>
      <c r="S1389" s="83"/>
      <c r="T1389" s="83"/>
      <c r="U1389" s="83"/>
      <c r="V1389" s="67"/>
      <c r="W1389" s="83"/>
      <c r="X1389" s="83"/>
      <c r="Y1389" s="67"/>
      <c r="Z1389" s="67"/>
    </row>
    <row r="1390" spans="1:26">
      <c r="A1390" s="83"/>
      <c r="B1390" s="20"/>
      <c r="C1390" s="21"/>
      <c r="D1390" s="20"/>
      <c r="E1390" s="20"/>
      <c r="F1390" s="284"/>
      <c r="G1390" s="36"/>
      <c r="H1390" s="20"/>
      <c r="I1390" s="52"/>
      <c r="J1390" s="89"/>
      <c r="K1390" s="89"/>
      <c r="L1390" s="22"/>
      <c r="M1390" s="20"/>
      <c r="N1390" s="20"/>
      <c r="O1390" s="47"/>
      <c r="P1390" s="118"/>
      <c r="Q1390" s="83"/>
      <c r="R1390" s="83"/>
      <c r="S1390" s="83"/>
      <c r="T1390" s="83"/>
      <c r="U1390" s="83"/>
      <c r="V1390" s="67"/>
      <c r="W1390" s="83"/>
      <c r="X1390" s="83"/>
      <c r="Y1390" s="67"/>
      <c r="Z1390" s="67"/>
    </row>
    <row r="1391" spans="1:26">
      <c r="A1391" s="83"/>
      <c r="B1391" s="20"/>
      <c r="C1391" s="21"/>
      <c r="D1391" s="20"/>
      <c r="E1391" s="20"/>
      <c r="F1391" s="284"/>
      <c r="G1391" s="36"/>
      <c r="H1391" s="20"/>
      <c r="I1391" s="52"/>
      <c r="J1391" s="89"/>
      <c r="K1391" s="89"/>
      <c r="L1391" s="22"/>
      <c r="M1391" s="20"/>
      <c r="N1391" s="20"/>
      <c r="O1391" s="47"/>
      <c r="P1391" s="118"/>
      <c r="Q1391" s="83"/>
      <c r="R1391" s="83"/>
      <c r="S1391" s="83"/>
      <c r="T1391" s="83"/>
      <c r="U1391" s="83"/>
      <c r="V1391" s="67"/>
      <c r="W1391" s="83"/>
      <c r="X1391" s="83"/>
      <c r="Y1391" s="67"/>
      <c r="Z1391" s="67"/>
    </row>
    <row r="1392" spans="1:26">
      <c r="A1392" s="83"/>
      <c r="B1392" s="20"/>
      <c r="C1392" s="21"/>
      <c r="D1392" s="20"/>
      <c r="E1392" s="20"/>
      <c r="F1392" s="284"/>
      <c r="G1392" s="36"/>
      <c r="H1392" s="20"/>
      <c r="I1392" s="52"/>
      <c r="J1392" s="89"/>
      <c r="K1392" s="89"/>
      <c r="L1392" s="22"/>
      <c r="M1392" s="20"/>
      <c r="N1392" s="20"/>
      <c r="O1392" s="47"/>
      <c r="P1392" s="118"/>
      <c r="Q1392" s="83"/>
      <c r="R1392" s="83"/>
      <c r="S1392" s="83"/>
      <c r="T1392" s="83"/>
      <c r="U1392" s="83"/>
      <c r="V1392" s="67"/>
      <c r="W1392" s="83"/>
      <c r="X1392" s="83"/>
      <c r="Y1392" s="67"/>
      <c r="Z1392" s="67"/>
    </row>
    <row r="1393" spans="1:26">
      <c r="A1393" s="83"/>
      <c r="B1393" s="20"/>
      <c r="C1393" s="21"/>
      <c r="D1393" s="20"/>
      <c r="E1393" s="20"/>
      <c r="F1393" s="284"/>
      <c r="G1393" s="36"/>
      <c r="H1393" s="20"/>
      <c r="I1393" s="52"/>
      <c r="J1393" s="89"/>
      <c r="K1393" s="89"/>
      <c r="L1393" s="22"/>
      <c r="M1393" s="20"/>
      <c r="N1393" s="20"/>
      <c r="O1393" s="47"/>
      <c r="P1393" s="118"/>
      <c r="Q1393" s="83"/>
      <c r="R1393" s="83"/>
      <c r="S1393" s="83"/>
      <c r="T1393" s="83"/>
      <c r="U1393" s="83"/>
      <c r="V1393" s="67"/>
      <c r="W1393" s="83"/>
      <c r="X1393" s="83"/>
      <c r="Y1393" s="67"/>
      <c r="Z1393" s="67"/>
    </row>
    <row r="1394" spans="1:26">
      <c r="A1394" s="83"/>
      <c r="B1394" s="20"/>
      <c r="C1394" s="21"/>
      <c r="D1394" s="20"/>
      <c r="E1394" s="20"/>
      <c r="F1394" s="284"/>
      <c r="G1394" s="36"/>
      <c r="H1394" s="20"/>
      <c r="I1394" s="52"/>
      <c r="J1394" s="89"/>
      <c r="K1394" s="89"/>
      <c r="L1394" s="22"/>
      <c r="M1394" s="20"/>
      <c r="N1394" s="20"/>
      <c r="O1394" s="47"/>
      <c r="P1394" s="118"/>
      <c r="Q1394" s="83"/>
      <c r="R1394" s="83"/>
      <c r="S1394" s="83"/>
      <c r="T1394" s="83"/>
      <c r="U1394" s="83"/>
      <c r="V1394" s="67"/>
      <c r="W1394" s="83"/>
      <c r="X1394" s="83"/>
      <c r="Y1394" s="67"/>
      <c r="Z1394" s="67"/>
    </row>
    <row r="1395" spans="1:26">
      <c r="A1395" s="83"/>
      <c r="B1395" s="20"/>
      <c r="C1395" s="21"/>
      <c r="D1395" s="20"/>
      <c r="E1395" s="20"/>
      <c r="F1395" s="284"/>
      <c r="G1395" s="36"/>
      <c r="H1395" s="20"/>
      <c r="I1395" s="52"/>
      <c r="J1395" s="89"/>
      <c r="K1395" s="89"/>
      <c r="L1395" s="22"/>
      <c r="M1395" s="20"/>
      <c r="N1395" s="20"/>
      <c r="O1395" s="47"/>
      <c r="P1395" s="118"/>
      <c r="Q1395" s="83"/>
      <c r="R1395" s="83"/>
      <c r="S1395" s="83"/>
      <c r="T1395" s="83"/>
      <c r="U1395" s="83"/>
      <c r="V1395" s="67"/>
      <c r="W1395" s="83"/>
      <c r="X1395" s="83"/>
      <c r="Y1395" s="67"/>
      <c r="Z1395" s="67"/>
    </row>
    <row r="1396" spans="1:26">
      <c r="A1396" s="83"/>
      <c r="B1396" s="20"/>
      <c r="C1396" s="21"/>
      <c r="D1396" s="20"/>
      <c r="E1396" s="20"/>
      <c r="F1396" s="284"/>
      <c r="G1396" s="36"/>
      <c r="H1396" s="20"/>
      <c r="I1396" s="52"/>
      <c r="J1396" s="89"/>
      <c r="K1396" s="89"/>
      <c r="L1396" s="22"/>
      <c r="M1396" s="20"/>
      <c r="N1396" s="20"/>
      <c r="O1396" s="47"/>
      <c r="P1396" s="118"/>
      <c r="Q1396" s="83"/>
      <c r="R1396" s="83"/>
      <c r="S1396" s="83"/>
      <c r="T1396" s="83"/>
      <c r="U1396" s="83"/>
      <c r="V1396" s="67"/>
      <c r="W1396" s="83"/>
      <c r="X1396" s="83"/>
      <c r="Y1396" s="67"/>
      <c r="Z1396" s="67"/>
    </row>
    <row r="1397" spans="1:26">
      <c r="A1397" s="83"/>
      <c r="B1397" s="20"/>
      <c r="C1397" s="21"/>
      <c r="D1397" s="20"/>
      <c r="E1397" s="20"/>
      <c r="F1397" s="284"/>
      <c r="G1397" s="36"/>
      <c r="H1397" s="20"/>
      <c r="I1397" s="52"/>
      <c r="J1397" s="89"/>
      <c r="K1397" s="89"/>
      <c r="L1397" s="22"/>
      <c r="M1397" s="20"/>
      <c r="N1397" s="20"/>
      <c r="O1397" s="47"/>
      <c r="P1397" s="118"/>
      <c r="Q1397" s="83"/>
      <c r="R1397" s="83"/>
      <c r="S1397" s="83"/>
      <c r="T1397" s="83"/>
      <c r="U1397" s="83"/>
      <c r="V1397" s="67"/>
      <c r="W1397" s="83"/>
      <c r="X1397" s="83"/>
      <c r="Y1397" s="67"/>
      <c r="Z1397" s="67"/>
    </row>
    <row r="1398" spans="1:26">
      <c r="A1398" s="83"/>
      <c r="B1398" s="20"/>
      <c r="C1398" s="21"/>
      <c r="D1398" s="20"/>
      <c r="E1398" s="20"/>
      <c r="F1398" s="284"/>
      <c r="G1398" s="36"/>
      <c r="H1398" s="20"/>
      <c r="I1398" s="52"/>
      <c r="J1398" s="89"/>
      <c r="K1398" s="89"/>
      <c r="L1398" s="22"/>
      <c r="M1398" s="20"/>
      <c r="N1398" s="20"/>
      <c r="O1398" s="47"/>
      <c r="P1398" s="118"/>
      <c r="Q1398" s="83"/>
      <c r="R1398" s="83"/>
      <c r="S1398" s="83"/>
      <c r="T1398" s="83"/>
      <c r="U1398" s="83"/>
      <c r="V1398" s="67"/>
      <c r="W1398" s="83"/>
      <c r="X1398" s="83"/>
      <c r="Y1398" s="67"/>
      <c r="Z1398" s="67"/>
    </row>
    <row r="1399" spans="1:26">
      <c r="A1399" s="83"/>
      <c r="B1399" s="20"/>
      <c r="C1399" s="21"/>
      <c r="D1399" s="20"/>
      <c r="E1399" s="20"/>
      <c r="F1399" s="284"/>
      <c r="G1399" s="36"/>
      <c r="H1399" s="20"/>
      <c r="I1399" s="52"/>
      <c r="J1399" s="89"/>
      <c r="K1399" s="89"/>
      <c r="L1399" s="22"/>
      <c r="M1399" s="20"/>
      <c r="N1399" s="20"/>
      <c r="O1399" s="47"/>
      <c r="P1399" s="118"/>
      <c r="Q1399" s="83"/>
      <c r="R1399" s="83"/>
      <c r="S1399" s="83"/>
      <c r="T1399" s="83"/>
      <c r="U1399" s="83"/>
      <c r="V1399" s="67"/>
      <c r="W1399" s="83"/>
      <c r="X1399" s="83"/>
      <c r="Y1399" s="67"/>
      <c r="Z1399" s="67"/>
    </row>
    <row r="1400" spans="1:26">
      <c r="A1400" s="83"/>
      <c r="B1400" s="20"/>
      <c r="C1400" s="21"/>
      <c r="D1400" s="20"/>
      <c r="E1400" s="20"/>
      <c r="F1400" s="284"/>
      <c r="G1400" s="36"/>
      <c r="H1400" s="20"/>
      <c r="I1400" s="52"/>
      <c r="J1400" s="89"/>
      <c r="K1400" s="89"/>
      <c r="L1400" s="22"/>
      <c r="M1400" s="20"/>
      <c r="N1400" s="20"/>
      <c r="O1400" s="47"/>
      <c r="P1400" s="118"/>
      <c r="Q1400" s="83"/>
      <c r="R1400" s="83"/>
      <c r="S1400" s="83"/>
      <c r="T1400" s="83"/>
      <c r="U1400" s="83"/>
      <c r="V1400" s="67"/>
      <c r="W1400" s="83"/>
      <c r="X1400" s="83"/>
      <c r="Y1400" s="67"/>
      <c r="Z1400" s="67"/>
    </row>
    <row r="1401" spans="1:26">
      <c r="A1401" s="83"/>
      <c r="B1401" s="20"/>
      <c r="C1401" s="21"/>
      <c r="D1401" s="20"/>
      <c r="E1401" s="20"/>
      <c r="F1401" s="284"/>
      <c r="G1401" s="36"/>
      <c r="H1401" s="20"/>
      <c r="I1401" s="52"/>
      <c r="J1401" s="89"/>
      <c r="K1401" s="89"/>
      <c r="L1401" s="22"/>
      <c r="M1401" s="20"/>
      <c r="N1401" s="20"/>
      <c r="O1401" s="47"/>
      <c r="P1401" s="118"/>
      <c r="Q1401" s="83"/>
      <c r="R1401" s="83"/>
      <c r="S1401" s="83"/>
      <c r="T1401" s="83"/>
      <c r="U1401" s="83"/>
      <c r="V1401" s="67"/>
      <c r="W1401" s="83"/>
      <c r="X1401" s="83"/>
      <c r="Y1401" s="67"/>
      <c r="Z1401" s="67"/>
    </row>
    <row r="1402" spans="1:26">
      <c r="A1402" s="83"/>
      <c r="B1402" s="20"/>
      <c r="C1402" s="21"/>
      <c r="D1402" s="20"/>
      <c r="E1402" s="20"/>
      <c r="F1402" s="284"/>
      <c r="G1402" s="36"/>
      <c r="H1402" s="20"/>
      <c r="I1402" s="52"/>
      <c r="J1402" s="89"/>
      <c r="K1402" s="89"/>
      <c r="L1402" s="22"/>
      <c r="M1402" s="20"/>
      <c r="N1402" s="20"/>
      <c r="O1402" s="47"/>
      <c r="P1402" s="118"/>
      <c r="Q1402" s="83"/>
      <c r="R1402" s="83"/>
      <c r="S1402" s="83"/>
      <c r="T1402" s="83"/>
      <c r="U1402" s="83"/>
      <c r="V1402" s="67"/>
      <c r="W1402" s="83"/>
      <c r="X1402" s="83"/>
      <c r="Y1402" s="67"/>
      <c r="Z1402" s="67"/>
    </row>
    <row r="1403" spans="1:26">
      <c r="A1403" s="83"/>
      <c r="B1403" s="20"/>
      <c r="C1403" s="21"/>
      <c r="D1403" s="20"/>
      <c r="E1403" s="20"/>
      <c r="F1403" s="284"/>
      <c r="G1403" s="36"/>
      <c r="H1403" s="20"/>
      <c r="I1403" s="52"/>
      <c r="J1403" s="89"/>
      <c r="K1403" s="89"/>
      <c r="L1403" s="22"/>
      <c r="M1403" s="20"/>
      <c r="N1403" s="20"/>
      <c r="O1403" s="47"/>
      <c r="P1403" s="118"/>
      <c r="Q1403" s="83"/>
      <c r="R1403" s="83"/>
      <c r="S1403" s="83"/>
      <c r="T1403" s="83"/>
      <c r="U1403" s="83"/>
      <c r="V1403" s="67"/>
      <c r="W1403" s="83"/>
      <c r="X1403" s="83"/>
      <c r="Y1403" s="67"/>
      <c r="Z1403" s="67"/>
    </row>
    <row r="1404" spans="1:26">
      <c r="A1404" s="83"/>
      <c r="B1404" s="20"/>
      <c r="C1404" s="21"/>
      <c r="D1404" s="20"/>
      <c r="E1404" s="20"/>
      <c r="F1404" s="284"/>
      <c r="G1404" s="36"/>
      <c r="H1404" s="20"/>
      <c r="I1404" s="52"/>
      <c r="J1404" s="89"/>
      <c r="K1404" s="89"/>
      <c r="L1404" s="22"/>
      <c r="M1404" s="20"/>
      <c r="N1404" s="20"/>
      <c r="O1404" s="47"/>
      <c r="P1404" s="118"/>
      <c r="Q1404" s="83"/>
      <c r="R1404" s="83"/>
      <c r="S1404" s="83"/>
      <c r="T1404" s="83"/>
      <c r="U1404" s="83"/>
      <c r="V1404" s="67"/>
      <c r="W1404" s="83"/>
      <c r="X1404" s="83"/>
      <c r="Y1404" s="67"/>
      <c r="Z1404" s="67"/>
    </row>
    <row r="1405" spans="1:26">
      <c r="A1405" s="83"/>
      <c r="B1405" s="20"/>
      <c r="C1405" s="21"/>
      <c r="D1405" s="20"/>
      <c r="E1405" s="20"/>
      <c r="F1405" s="284"/>
      <c r="G1405" s="36"/>
      <c r="H1405" s="20"/>
      <c r="I1405" s="52"/>
      <c r="J1405" s="89"/>
      <c r="K1405" s="89"/>
      <c r="L1405" s="22"/>
      <c r="M1405" s="20"/>
      <c r="N1405" s="20"/>
      <c r="O1405" s="47"/>
      <c r="P1405" s="118"/>
      <c r="Q1405" s="83"/>
      <c r="R1405" s="83"/>
      <c r="S1405" s="83"/>
      <c r="T1405" s="83"/>
      <c r="U1405" s="83"/>
      <c r="V1405" s="67"/>
      <c r="W1405" s="83"/>
      <c r="X1405" s="83"/>
      <c r="Y1405" s="67"/>
      <c r="Z1405" s="67"/>
    </row>
    <row r="1406" spans="1:26">
      <c r="A1406" s="83"/>
      <c r="B1406" s="20"/>
      <c r="C1406" s="21"/>
      <c r="D1406" s="20"/>
      <c r="E1406" s="20"/>
      <c r="F1406" s="284"/>
      <c r="G1406" s="36"/>
      <c r="H1406" s="20"/>
      <c r="I1406" s="52"/>
      <c r="J1406" s="89"/>
      <c r="K1406" s="89"/>
      <c r="L1406" s="22"/>
      <c r="M1406" s="20"/>
      <c r="N1406" s="20"/>
      <c r="O1406" s="47"/>
      <c r="P1406" s="118"/>
      <c r="Q1406" s="83"/>
      <c r="R1406" s="83"/>
      <c r="S1406" s="83"/>
      <c r="T1406" s="83"/>
      <c r="U1406" s="83"/>
      <c r="V1406" s="67"/>
      <c r="W1406" s="83"/>
      <c r="X1406" s="83"/>
      <c r="Y1406" s="67"/>
      <c r="Z1406" s="67"/>
    </row>
    <row r="1407" spans="1:26">
      <c r="A1407" s="83"/>
      <c r="B1407" s="20"/>
      <c r="C1407" s="21"/>
      <c r="D1407" s="20"/>
      <c r="E1407" s="20"/>
      <c r="F1407" s="284"/>
      <c r="G1407" s="36"/>
      <c r="H1407" s="20"/>
      <c r="I1407" s="52"/>
      <c r="J1407" s="89"/>
      <c r="K1407" s="89"/>
      <c r="L1407" s="22"/>
      <c r="M1407" s="20"/>
      <c r="N1407" s="20"/>
      <c r="O1407" s="47"/>
      <c r="P1407" s="118"/>
      <c r="Q1407" s="83"/>
      <c r="R1407" s="83"/>
      <c r="S1407" s="83"/>
      <c r="T1407" s="83"/>
      <c r="U1407" s="83"/>
      <c r="V1407" s="67"/>
      <c r="W1407" s="83"/>
      <c r="X1407" s="83"/>
      <c r="Y1407" s="67"/>
      <c r="Z1407" s="67"/>
    </row>
    <row r="1408" spans="1:26">
      <c r="A1408" s="83"/>
      <c r="B1408" s="20"/>
      <c r="C1408" s="21"/>
      <c r="D1408" s="20"/>
      <c r="E1408" s="20"/>
      <c r="F1408" s="284"/>
      <c r="G1408" s="36"/>
      <c r="H1408" s="20"/>
      <c r="I1408" s="52"/>
      <c r="J1408" s="89"/>
      <c r="K1408" s="89"/>
      <c r="L1408" s="22"/>
      <c r="M1408" s="20"/>
      <c r="N1408" s="20"/>
      <c r="O1408" s="47"/>
      <c r="P1408" s="118"/>
      <c r="Q1408" s="83"/>
      <c r="R1408" s="83"/>
      <c r="S1408" s="83"/>
      <c r="T1408" s="83"/>
      <c r="U1408" s="83"/>
      <c r="V1408" s="67"/>
      <c r="W1408" s="83"/>
      <c r="X1408" s="83"/>
      <c r="Y1408" s="67"/>
      <c r="Z1408" s="67"/>
    </row>
    <row r="1409" spans="1:26">
      <c r="A1409" s="83"/>
      <c r="B1409" s="20"/>
      <c r="C1409" s="21"/>
      <c r="D1409" s="20"/>
      <c r="E1409" s="20"/>
      <c r="F1409" s="284"/>
      <c r="G1409" s="36"/>
      <c r="H1409" s="20"/>
      <c r="I1409" s="52"/>
      <c r="J1409" s="89"/>
      <c r="K1409" s="89"/>
      <c r="L1409" s="22"/>
      <c r="M1409" s="20"/>
      <c r="N1409" s="20"/>
      <c r="O1409" s="47"/>
      <c r="P1409" s="118"/>
      <c r="Q1409" s="83"/>
      <c r="R1409" s="83"/>
      <c r="S1409" s="83"/>
      <c r="T1409" s="83"/>
      <c r="U1409" s="83"/>
      <c r="V1409" s="67"/>
      <c r="W1409" s="83"/>
      <c r="X1409" s="83"/>
      <c r="Y1409" s="67"/>
      <c r="Z1409" s="67"/>
    </row>
    <row r="1410" spans="1:26">
      <c r="A1410" s="83"/>
      <c r="B1410" s="20"/>
      <c r="C1410" s="21"/>
      <c r="D1410" s="20"/>
      <c r="E1410" s="20"/>
      <c r="F1410" s="284"/>
      <c r="G1410" s="36"/>
      <c r="H1410" s="20"/>
      <c r="I1410" s="52"/>
      <c r="J1410" s="89"/>
      <c r="K1410" s="89"/>
      <c r="L1410" s="22"/>
      <c r="M1410" s="20"/>
      <c r="N1410" s="20"/>
      <c r="O1410" s="47"/>
      <c r="P1410" s="118"/>
      <c r="Q1410" s="83"/>
      <c r="R1410" s="83"/>
      <c r="S1410" s="83"/>
      <c r="T1410" s="83"/>
      <c r="U1410" s="83"/>
      <c r="V1410" s="67"/>
      <c r="W1410" s="83"/>
      <c r="X1410" s="83"/>
      <c r="Y1410" s="67"/>
      <c r="Z1410" s="67"/>
    </row>
    <row r="1411" spans="1:26">
      <c r="A1411" s="83"/>
      <c r="B1411" s="20"/>
      <c r="C1411" s="21"/>
      <c r="D1411" s="20"/>
      <c r="E1411" s="20"/>
      <c r="F1411" s="284"/>
      <c r="G1411" s="36"/>
      <c r="H1411" s="20"/>
      <c r="I1411" s="52"/>
      <c r="J1411" s="89"/>
      <c r="K1411" s="89"/>
      <c r="L1411" s="22"/>
      <c r="M1411" s="20"/>
      <c r="N1411" s="20"/>
      <c r="O1411" s="47"/>
      <c r="P1411" s="118"/>
      <c r="Q1411" s="83"/>
      <c r="R1411" s="83"/>
      <c r="S1411" s="83"/>
      <c r="T1411" s="83"/>
      <c r="U1411" s="83"/>
      <c r="V1411" s="67"/>
      <c r="W1411" s="83"/>
      <c r="X1411" s="83"/>
      <c r="Y1411" s="67"/>
      <c r="Z1411" s="67"/>
    </row>
    <row r="1412" spans="1:26">
      <c r="A1412" s="83"/>
      <c r="B1412" s="20"/>
      <c r="C1412" s="21"/>
      <c r="D1412" s="20"/>
      <c r="E1412" s="20"/>
      <c r="F1412" s="284"/>
      <c r="G1412" s="36"/>
      <c r="H1412" s="20"/>
      <c r="I1412" s="52"/>
      <c r="J1412" s="89"/>
      <c r="K1412" s="89"/>
      <c r="L1412" s="22"/>
      <c r="M1412" s="20"/>
      <c r="N1412" s="20"/>
      <c r="O1412" s="47"/>
      <c r="P1412" s="118"/>
      <c r="Q1412" s="83"/>
      <c r="R1412" s="83"/>
      <c r="S1412" s="83"/>
      <c r="T1412" s="83"/>
      <c r="U1412" s="83"/>
      <c r="V1412" s="67"/>
      <c r="W1412" s="83"/>
      <c r="X1412" s="83"/>
      <c r="Y1412" s="67"/>
      <c r="Z1412" s="67"/>
    </row>
  </sheetData>
  <dataConsolidate/>
  <customSheetViews>
    <customSheetView guid="{61ED9C2E-151C-43AF-B8D0-9E21D2FA6EF3}" scale="70" showPageBreaks="1" fitToPage="1" printArea="1" hiddenRows="1" state="hidden" view="pageBreakPreview" topLeftCell="A12">
      <pane ySplit="4" topLeftCell="A143" activePane="bottomLeft" state="frozen"/>
      <selection pane="bottomLeft" activeCell="N143" sqref="N143"/>
      <rowBreaks count="1" manualBreakCount="1">
        <brk id="167" max="25" man="1"/>
      </rowBreaks>
      <pageMargins left="0.25" right="0.25" top="0.75" bottom="0.75" header="0.3" footer="0.3"/>
      <pageSetup paperSize="8" scale="56" fitToHeight="0" orientation="landscape" r:id="rId1"/>
    </customSheetView>
    <customSheetView guid="{42DFB948-3AAE-4BC8-BE98-38DFC75BEBB9}" scale="70" showPageBreaks="1" fitToPage="1" printArea="1" hiddenRows="1" state="hidden" view="pageBreakPreview" topLeftCell="A12">
      <pane ySplit="4" topLeftCell="A143" activePane="bottomLeft" state="frozen"/>
      <selection pane="bottomLeft" activeCell="N143" sqref="N143"/>
      <rowBreaks count="1" manualBreakCount="1">
        <brk id="167" max="25" man="1"/>
      </rowBreaks>
      <pageMargins left="0.25" right="0.25" top="0.75" bottom="0.75" header="0.3" footer="0.3"/>
      <pageSetup paperSize="8" scale="56" fitToHeight="0" orientation="landscape" r:id="rId2"/>
    </customSheetView>
    <customSheetView guid="{A6591927-B6A0-4F29-ACFB-86D4B856E06A}" scale="70" showPageBreaks="1" fitToPage="1" printArea="1" hiddenRows="1" state="hidden" view="pageBreakPreview" topLeftCell="A12">
      <pane ySplit="4" topLeftCell="A143" activePane="bottomLeft" state="frozen"/>
      <selection pane="bottomLeft" activeCell="N143" sqref="N143"/>
      <rowBreaks count="1" manualBreakCount="1">
        <brk id="167" max="25" man="1"/>
      </rowBreaks>
      <pageMargins left="0.25" right="0.25" top="0.75" bottom="0.75" header="0.3" footer="0.3"/>
      <pageSetup paperSize="8" scale="56" fitToHeight="0" orientation="landscape" r:id="rId3"/>
    </customSheetView>
    <customSheetView guid="{D9E74CF5-B41B-4B47-9E59-F86450B63E7A}" scale="70" showPageBreaks="1" fitToPage="1" printArea="1" hiddenRows="1" state="hidden" view="pageBreakPreview" topLeftCell="A12">
      <pane ySplit="4" topLeftCell="A143" activePane="bottomLeft" state="frozen"/>
      <selection pane="bottomLeft" activeCell="N143" sqref="N143"/>
      <rowBreaks count="1" manualBreakCount="1">
        <brk id="167" max="25" man="1"/>
      </rowBreaks>
      <pageMargins left="0.25" right="0.25" top="0.75" bottom="0.75" header="0.3" footer="0.3"/>
      <pageSetup paperSize="8" scale="56" fitToHeight="0" orientation="landscape" r:id="rId4"/>
    </customSheetView>
    <customSheetView guid="{D529A7A1-1933-4765-AA36-44D0FD87D7B1}" scale="70" showPageBreaks="1" fitToPage="1" printArea="1" hiddenRows="1" state="hidden" view="pageBreakPreview" topLeftCell="A12">
      <pane ySplit="4" topLeftCell="A143" activePane="bottomLeft" state="frozen"/>
      <selection pane="bottomLeft" activeCell="N143" sqref="N143"/>
      <rowBreaks count="1" manualBreakCount="1">
        <brk id="167" max="25" man="1"/>
      </rowBreaks>
      <pageMargins left="0.25" right="0.25" top="0.75" bottom="0.75" header="0.3" footer="0.3"/>
      <pageSetup paperSize="8" scale="56" fitToHeight="0" orientation="landscape" r:id="rId5"/>
    </customSheetView>
    <customSheetView guid="{0943F56E-2267-4333-AC70-CA4FAC995AA9}" scale="70" showPageBreaks="1" fitToPage="1" printArea="1" hiddenRows="1" state="hidden" view="pageBreakPreview" topLeftCell="A12">
      <pane ySplit="4" topLeftCell="A143" activePane="bottomLeft" state="frozen"/>
      <selection pane="bottomLeft" activeCell="N143" sqref="N143"/>
      <rowBreaks count="1" manualBreakCount="1">
        <brk id="167" max="25" man="1"/>
      </rowBreaks>
      <pageMargins left="0.25" right="0.25" top="0.75" bottom="0.75" header="0.3" footer="0.3"/>
      <pageSetup paperSize="8" scale="56" fitToHeight="0" orientation="landscape" r:id="rId6"/>
    </customSheetView>
    <customSheetView guid="{F387C196-EB8F-4F17-8A3D-CFA67F3B2FD1}" scale="70" showPageBreaks="1" fitToPage="1" printArea="1" hiddenRows="1" state="hidden" view="pageBreakPreview" topLeftCell="A12">
      <selection activeCell="N143" sqref="N143"/>
      <rowBreaks count="1" manualBreakCount="1">
        <brk id="167" max="25" man="1"/>
      </rowBreaks>
      <pageMargins left="0.25" right="0.25" top="0.75" bottom="0.75" header="0.3" footer="0.3"/>
      <pageSetup paperSize="8" scale="56" fitToHeight="0" orientation="landscape" r:id="rId7"/>
    </customSheetView>
  </customSheetViews>
  <mergeCells count="211">
    <mergeCell ref="A1310:D1310"/>
    <mergeCell ref="O610:O613"/>
    <mergeCell ref="A1083:D1083"/>
    <mergeCell ref="A1174:D1174"/>
    <mergeCell ref="A1235:D1235"/>
    <mergeCell ref="A1258:D1258"/>
    <mergeCell ref="A1279:D1279"/>
    <mergeCell ref="I610:I613"/>
    <mergeCell ref="J610:J613"/>
    <mergeCell ref="K610:K613"/>
    <mergeCell ref="L610:L613"/>
    <mergeCell ref="M610:M613"/>
    <mergeCell ref="N610:N613"/>
    <mergeCell ref="A518:D518"/>
    <mergeCell ref="A610:D613"/>
    <mergeCell ref="E610:E613"/>
    <mergeCell ref="F610:F613"/>
    <mergeCell ref="G610:G613"/>
    <mergeCell ref="H610:H613"/>
    <mergeCell ref="V281:V282"/>
    <mergeCell ref="W281:W282"/>
    <mergeCell ref="X281:X282"/>
    <mergeCell ref="Y281:Y282"/>
    <mergeCell ref="Z281:Z282"/>
    <mergeCell ref="A406:D406"/>
    <mergeCell ref="P281:P282"/>
    <mergeCell ref="Q281:Q282"/>
    <mergeCell ref="R281:R282"/>
    <mergeCell ref="S281:S282"/>
    <mergeCell ref="T281:T282"/>
    <mergeCell ref="U281:U282"/>
    <mergeCell ref="G281:G282"/>
    <mergeCell ref="H281:H282"/>
    <mergeCell ref="I281:I282"/>
    <mergeCell ref="J281:J282"/>
    <mergeCell ref="K281:K282"/>
    <mergeCell ref="O281:O282"/>
    <mergeCell ref="A281:A282"/>
    <mergeCell ref="B281:B282"/>
    <mergeCell ref="C281:C282"/>
    <mergeCell ref="D281:D282"/>
    <mergeCell ref="E281:E282"/>
    <mergeCell ref="F281:F282"/>
    <mergeCell ref="A278:D278"/>
    <mergeCell ref="P183:P184"/>
    <mergeCell ref="Q183:Q184"/>
    <mergeCell ref="R183:R184"/>
    <mergeCell ref="S183:S184"/>
    <mergeCell ref="T183:T184"/>
    <mergeCell ref="U183:U184"/>
    <mergeCell ref="G183:G184"/>
    <mergeCell ref="H183:H184"/>
    <mergeCell ref="I183:I184"/>
    <mergeCell ref="J183:J184"/>
    <mergeCell ref="K183:K184"/>
    <mergeCell ref="O183:O184"/>
    <mergeCell ref="A183:A184"/>
    <mergeCell ref="B183:B184"/>
    <mergeCell ref="C183:C184"/>
    <mergeCell ref="D183:D184"/>
    <mergeCell ref="E183:E184"/>
    <mergeCell ref="F183:F184"/>
    <mergeCell ref="Y170:Y171"/>
    <mergeCell ref="Z170:Z171"/>
    <mergeCell ref="O170:O171"/>
    <mergeCell ref="P170:P171"/>
    <mergeCell ref="Q170:Q171"/>
    <mergeCell ref="R170:R171"/>
    <mergeCell ref="S170:S171"/>
    <mergeCell ref="T170:T171"/>
    <mergeCell ref="V183:V184"/>
    <mergeCell ref="W183:W184"/>
    <mergeCell ref="X183:X184"/>
    <mergeCell ref="Y183:Y184"/>
    <mergeCell ref="Z183:Z184"/>
    <mergeCell ref="J170:J171"/>
    <mergeCell ref="K170:K171"/>
    <mergeCell ref="V163:V164"/>
    <mergeCell ref="W163:W164"/>
    <mergeCell ref="X163:X164"/>
    <mergeCell ref="F163:F164"/>
    <mergeCell ref="U170:U171"/>
    <mergeCell ref="V170:V171"/>
    <mergeCell ref="W170:W171"/>
    <mergeCell ref="X170:X171"/>
    <mergeCell ref="A170:A171"/>
    <mergeCell ref="B170:B171"/>
    <mergeCell ref="C170:C171"/>
    <mergeCell ref="D170:D171"/>
    <mergeCell ref="E170:E171"/>
    <mergeCell ref="P163:P164"/>
    <mergeCell ref="Q163:Q164"/>
    <mergeCell ref="R163:R164"/>
    <mergeCell ref="S163:S164"/>
    <mergeCell ref="G163:G164"/>
    <mergeCell ref="H163:H164"/>
    <mergeCell ref="I163:I164"/>
    <mergeCell ref="J163:J164"/>
    <mergeCell ref="K163:K164"/>
    <mergeCell ref="O163:O164"/>
    <mergeCell ref="A163:A164"/>
    <mergeCell ref="B163:B164"/>
    <mergeCell ref="C163:C164"/>
    <mergeCell ref="D163:D164"/>
    <mergeCell ref="E163:E164"/>
    <mergeCell ref="F170:F171"/>
    <mergeCell ref="G170:G171"/>
    <mergeCell ref="H170:H171"/>
    <mergeCell ref="I170:I171"/>
    <mergeCell ref="Y138:Y139"/>
    <mergeCell ref="Z138:Z139"/>
    <mergeCell ref="O138:O139"/>
    <mergeCell ref="P138:P139"/>
    <mergeCell ref="Q138:Q139"/>
    <mergeCell ref="R138:R139"/>
    <mergeCell ref="S138:S139"/>
    <mergeCell ref="T138:T139"/>
    <mergeCell ref="Y163:Y164"/>
    <mergeCell ref="Z163:Z164"/>
    <mergeCell ref="T163:T164"/>
    <mergeCell ref="U163:U164"/>
    <mergeCell ref="F138:F139"/>
    <mergeCell ref="G138:G139"/>
    <mergeCell ref="H138:H139"/>
    <mergeCell ref="I138:I139"/>
    <mergeCell ref="J138:J139"/>
    <mergeCell ref="K138:K139"/>
    <mergeCell ref="V128:V129"/>
    <mergeCell ref="W128:W129"/>
    <mergeCell ref="X128:X129"/>
    <mergeCell ref="F128:F129"/>
    <mergeCell ref="U138:U139"/>
    <mergeCell ref="V138:V139"/>
    <mergeCell ref="W138:W139"/>
    <mergeCell ref="X138:X139"/>
    <mergeCell ref="Y128:Y129"/>
    <mergeCell ref="Z128:Z129"/>
    <mergeCell ref="A138:A139"/>
    <mergeCell ref="B138:B139"/>
    <mergeCell ref="C138:C139"/>
    <mergeCell ref="D138:D139"/>
    <mergeCell ref="E138:E139"/>
    <mergeCell ref="P128:P129"/>
    <mergeCell ref="Q128:Q129"/>
    <mergeCell ref="R128:R129"/>
    <mergeCell ref="S128:S129"/>
    <mergeCell ref="T128:T129"/>
    <mergeCell ref="U128:U129"/>
    <mergeCell ref="G128:G129"/>
    <mergeCell ref="H128:H129"/>
    <mergeCell ref="I128:I129"/>
    <mergeCell ref="J128:J129"/>
    <mergeCell ref="K128:K129"/>
    <mergeCell ref="O128:O129"/>
    <mergeCell ref="A128:A129"/>
    <mergeCell ref="B128:B129"/>
    <mergeCell ref="C128:C129"/>
    <mergeCell ref="D128:D129"/>
    <mergeCell ref="E128:E129"/>
    <mergeCell ref="X116:X117"/>
    <mergeCell ref="Y116:Y117"/>
    <mergeCell ref="Z116:Z117"/>
    <mergeCell ref="O116:O117"/>
    <mergeCell ref="P116:P117"/>
    <mergeCell ref="Q116:Q117"/>
    <mergeCell ref="R116:R117"/>
    <mergeCell ref="S116:S117"/>
    <mergeCell ref="T116:T117"/>
    <mergeCell ref="A113:D113"/>
    <mergeCell ref="A116:A117"/>
    <mergeCell ref="B116:B117"/>
    <mergeCell ref="C116:C117"/>
    <mergeCell ref="D116:D117"/>
    <mergeCell ref="E116:E117"/>
    <mergeCell ref="U116:U117"/>
    <mergeCell ref="V116:V117"/>
    <mergeCell ref="W116:W117"/>
    <mergeCell ref="N12:N14"/>
    <mergeCell ref="O12:O14"/>
    <mergeCell ref="P12:P14"/>
    <mergeCell ref="Q12:Q14"/>
    <mergeCell ref="F116:F117"/>
    <mergeCell ref="G116:G117"/>
    <mergeCell ref="H116:H117"/>
    <mergeCell ref="I116:I117"/>
    <mergeCell ref="J116:J117"/>
    <mergeCell ref="K116:K117"/>
    <mergeCell ref="U2:Z2"/>
    <mergeCell ref="U3:Z3"/>
    <mergeCell ref="U4:Z4"/>
    <mergeCell ref="U5:Z5"/>
    <mergeCell ref="U7:Z7"/>
    <mergeCell ref="U8:Z8"/>
    <mergeCell ref="F10:X10"/>
    <mergeCell ref="A12:A14"/>
    <mergeCell ref="B12:B14"/>
    <mergeCell ref="C12:C14"/>
    <mergeCell ref="D12:D14"/>
    <mergeCell ref="E12:E14"/>
    <mergeCell ref="F12:F14"/>
    <mergeCell ref="G12:H13"/>
    <mergeCell ref="I12:I14"/>
    <mergeCell ref="J12:K12"/>
    <mergeCell ref="R12:T12"/>
    <mergeCell ref="U12:Z12"/>
    <mergeCell ref="R13:R14"/>
    <mergeCell ref="S13:T13"/>
    <mergeCell ref="U13:U14"/>
    <mergeCell ref="V13:Z13"/>
    <mergeCell ref="L12:L14"/>
    <mergeCell ref="M12:M14"/>
  </mergeCells>
  <conditionalFormatting sqref="A610 F610:XFD613">
    <cfRule type="containsText" dxfId="213" priority="214" operator="containsText" text="ТЕК">
      <formula>NOT(ISERROR(SEARCH("ТЕК",A610)))</formula>
    </cfRule>
  </conditionalFormatting>
  <conditionalFormatting sqref="J1257:K1257">
    <cfRule type="containsText" dxfId="212" priority="213" operator="containsText" text="ТЕК">
      <formula>NOT(ISERROR(SEARCH("ТЕК",J1257)))</formula>
    </cfRule>
  </conditionalFormatting>
  <conditionalFormatting sqref="U1257">
    <cfRule type="containsText" dxfId="211" priority="212" operator="containsText" text="ТЕК">
      <formula>NOT(ISERROR(SEARCH("ТЕК",U1257)))</formula>
    </cfRule>
  </conditionalFormatting>
  <conditionalFormatting sqref="Q1257">
    <cfRule type="containsText" dxfId="210" priority="211" operator="containsText" text="ТЕК">
      <formula>NOT(ISERROR(SEARCH("ТЕК",Q1257)))</formula>
    </cfRule>
  </conditionalFormatting>
  <conditionalFormatting sqref="W1257">
    <cfRule type="containsText" dxfId="209" priority="210" operator="containsText" text="ТЕК">
      <formula>NOT(ISERROR(SEARCH("ТЕК",W1257)))</formula>
    </cfRule>
  </conditionalFormatting>
  <conditionalFormatting sqref="W137 W140:W141">
    <cfRule type="containsText" dxfId="208" priority="199" operator="containsText" text="ТЕК">
      <formula>NOT(ISERROR(SEARCH("ТЕК",W137)))</formula>
    </cfRule>
  </conditionalFormatting>
  <conditionalFormatting sqref="W144:W147">
    <cfRule type="containsText" dxfId="207" priority="200" operator="containsText" text="ТЕК">
      <formula>NOT(ISERROR(SEARCH("ТЕК",W144)))</formula>
    </cfRule>
  </conditionalFormatting>
  <conditionalFormatting sqref="W127 W130:W134">
    <cfRule type="containsText" dxfId="206" priority="198" operator="containsText" text="ТЕК">
      <formula>NOT(ISERROR(SEARCH("ТЕК",W127)))</formula>
    </cfRule>
  </conditionalFormatting>
  <conditionalFormatting sqref="W540:W547">
    <cfRule type="containsText" dxfId="205" priority="159" operator="containsText" text="ТЕК">
      <formula>NOT(ISERROR(SEARCH("ТЕК",W540)))</formula>
    </cfRule>
  </conditionalFormatting>
  <conditionalFormatting sqref="W118:W124">
    <cfRule type="containsText" dxfId="204" priority="197" operator="containsText" text="ТЕК">
      <formula>NOT(ISERROR(SEARCH("ТЕК",W118)))</formula>
    </cfRule>
  </conditionalFormatting>
  <conditionalFormatting sqref="W198:W205">
    <cfRule type="containsText" dxfId="203" priority="208" operator="containsText" text="ТЕК">
      <formula>NOT(ISERROR(SEARCH("ТЕК",W198)))</formula>
    </cfRule>
  </conditionalFormatting>
  <conditionalFormatting sqref="W150:W153">
    <cfRule type="containsText" dxfId="202" priority="209" operator="containsText" text="ТЕК">
      <formula>NOT(ISERROR(SEARCH("ТЕК",W150)))</formula>
    </cfRule>
  </conditionalFormatting>
  <conditionalFormatting sqref="W280 W283:W287">
    <cfRule type="containsText" dxfId="201" priority="177" operator="containsText" text="ТЕК">
      <formula>NOT(ISERROR(SEARCH("ТЕК",W280)))</formula>
    </cfRule>
  </conditionalFormatting>
  <conditionalFormatting sqref="W208:W215">
    <cfRule type="containsText" dxfId="200" priority="207" operator="containsText" text="ТЕК">
      <formula>NOT(ISERROR(SEARCH("ТЕК",W208)))</formula>
    </cfRule>
  </conditionalFormatting>
  <conditionalFormatting sqref="W238:W245">
    <cfRule type="containsText" dxfId="199" priority="203" operator="containsText" text="ТЕК">
      <formula>NOT(ISERROR(SEARCH("ТЕК",W238)))</formula>
    </cfRule>
  </conditionalFormatting>
  <conditionalFormatting sqref="W228:W235">
    <cfRule type="containsText" dxfId="198" priority="206" operator="containsText" text="ТЕК">
      <formula>NOT(ISERROR(SEARCH("ТЕК",W228)))</formula>
    </cfRule>
  </conditionalFormatting>
  <conditionalFormatting sqref="W258:W265">
    <cfRule type="containsText" dxfId="197" priority="202" operator="containsText" text="ТЕК">
      <formula>NOT(ISERROR(SEARCH("ТЕК",W258)))</formula>
    </cfRule>
  </conditionalFormatting>
  <conditionalFormatting sqref="W218:W225">
    <cfRule type="containsText" dxfId="196" priority="205" operator="containsText" text="ТЕК">
      <formula>NOT(ISERROR(SEARCH("ТЕК",W218)))</formula>
    </cfRule>
  </conditionalFormatting>
  <conditionalFormatting sqref="W268:W275">
    <cfRule type="containsText" dxfId="195" priority="204" operator="containsText" text="ТЕК">
      <formula>NOT(ISERROR(SEARCH("ТЕК",W268)))</formula>
    </cfRule>
  </conditionalFormatting>
  <conditionalFormatting sqref="W248:W255">
    <cfRule type="containsText" dxfId="194" priority="201" operator="containsText" text="ТЕК">
      <formula>NOT(ISERROR(SEARCH("ТЕК",W248)))</formula>
    </cfRule>
  </conditionalFormatting>
  <conditionalFormatting sqref="W156:W159">
    <cfRule type="containsText" dxfId="193" priority="195" operator="containsText" text="ТЕК">
      <formula>NOT(ISERROR(SEARCH("ТЕК",W156)))</formula>
    </cfRule>
  </conditionalFormatting>
  <conditionalFormatting sqref="W115">
    <cfRule type="containsText" dxfId="192" priority="196" operator="containsText" text="ТЕК">
      <formula>NOT(ISERROR(SEARCH("ТЕК",W115)))</formula>
    </cfRule>
  </conditionalFormatting>
  <conditionalFormatting sqref="W560:W567">
    <cfRule type="containsText" dxfId="191" priority="161" operator="containsText" text="ТЕК">
      <formula>NOT(ISERROR(SEARCH("ТЕК",W560)))</formula>
    </cfRule>
  </conditionalFormatting>
  <conditionalFormatting sqref="W162 W165:W166">
    <cfRule type="containsText" dxfId="190" priority="194" operator="containsText" text="ТЕК">
      <formula>NOT(ISERROR(SEARCH("ТЕК",W162)))</formula>
    </cfRule>
  </conditionalFormatting>
  <conditionalFormatting sqref="W550:W557">
    <cfRule type="containsText" dxfId="189" priority="160" operator="containsText" text="ТЕК">
      <formula>NOT(ISERROR(SEARCH("ТЕК",W550)))</formula>
    </cfRule>
  </conditionalFormatting>
  <conditionalFormatting sqref="W530:W537">
    <cfRule type="containsText" dxfId="188" priority="158" operator="containsText" text="ТЕК">
      <formula>NOT(ISERROR(SEARCH("ТЕК",W530)))</formula>
    </cfRule>
  </conditionalFormatting>
  <conditionalFormatting sqref="W296:W303">
    <cfRule type="containsText" dxfId="187" priority="179" operator="containsText" text="ТЕК">
      <formula>NOT(ISERROR(SEARCH("ТЕК",W296)))</formula>
    </cfRule>
  </conditionalFormatting>
  <conditionalFormatting sqref="W346:W353">
    <cfRule type="containsText" dxfId="186" priority="183" operator="containsText" text="ТЕК">
      <formula>NOT(ISERROR(SEARCH("ТЕК",W346)))</formula>
    </cfRule>
  </conditionalFormatting>
  <conditionalFormatting sqref="W356:W363">
    <cfRule type="containsText" dxfId="185" priority="184" operator="containsText" text="ТЕК">
      <formula>NOT(ISERROR(SEARCH("ТЕК",W356)))</formula>
    </cfRule>
  </conditionalFormatting>
  <conditionalFormatting sqref="W326:W333">
    <cfRule type="containsText" dxfId="184" priority="182" operator="containsText" text="ТЕК">
      <formula>NOT(ISERROR(SEARCH("ТЕК",W326)))</formula>
    </cfRule>
  </conditionalFormatting>
  <conditionalFormatting sqref="W192:W195">
    <cfRule type="containsText" dxfId="183" priority="193" operator="containsText" text="ТЕК">
      <formula>NOT(ISERROR(SEARCH("ТЕК",W192)))</formula>
    </cfRule>
  </conditionalFormatting>
  <conditionalFormatting sqref="W177:W179">
    <cfRule type="containsText" dxfId="182" priority="191" operator="containsText" text="ТЕК">
      <formula>NOT(ISERROR(SEARCH("ТЕК",W177)))</formula>
    </cfRule>
  </conditionalFormatting>
  <conditionalFormatting sqref="W182 W185:W189">
    <cfRule type="containsText" dxfId="181" priority="192" operator="containsText" text="ТЕК">
      <formula>NOT(ISERROR(SEARCH("ТЕК",W182)))</formula>
    </cfRule>
  </conditionalFormatting>
  <conditionalFormatting sqref="W169 W172:W174">
    <cfRule type="containsText" dxfId="180" priority="190" operator="containsText" text="ТЕК">
      <formula>NOT(ISERROR(SEARCH("ТЕК",W169)))</formula>
    </cfRule>
  </conditionalFormatting>
  <conditionalFormatting sqref="W396:W403">
    <cfRule type="containsText" dxfId="179" priority="189" operator="containsText" text="ТЕК">
      <formula>NOT(ISERROR(SEARCH("ТЕК",W396)))</formula>
    </cfRule>
  </conditionalFormatting>
  <conditionalFormatting sqref="W336:W343">
    <cfRule type="containsText" dxfId="178" priority="187" operator="containsText" text="ТЕК">
      <formula>NOT(ISERROR(SEARCH("ТЕК",W336)))</formula>
    </cfRule>
  </conditionalFormatting>
  <conditionalFormatting sqref="W386:W393">
    <cfRule type="containsText" dxfId="177" priority="188" operator="containsText" text="ТЕК">
      <formula>NOT(ISERROR(SEARCH("ТЕК",W386)))</formula>
    </cfRule>
  </conditionalFormatting>
  <conditionalFormatting sqref="W366:W373">
    <cfRule type="containsText" dxfId="176" priority="185" operator="containsText" text="ТЕК">
      <formula>NOT(ISERROR(SEARCH("ТЕК",W366)))</formula>
    </cfRule>
  </conditionalFormatting>
  <conditionalFormatting sqref="W376:W383">
    <cfRule type="containsText" dxfId="175" priority="186" operator="containsText" text="ТЕК">
      <formula>NOT(ISERROR(SEARCH("ТЕК",W376)))</formula>
    </cfRule>
  </conditionalFormatting>
  <conditionalFormatting sqref="W580:W587">
    <cfRule type="containsText" dxfId="174" priority="163" operator="containsText" text="ТЕК">
      <formula>NOT(ISERROR(SEARCH("ТЕК",W580)))</formula>
    </cfRule>
  </conditionalFormatting>
  <conditionalFormatting sqref="W590:W597">
    <cfRule type="containsText" dxfId="173" priority="164" operator="containsText" text="ТЕК">
      <formula>NOT(ISERROR(SEARCH("ТЕК",W590)))</formula>
    </cfRule>
  </conditionalFormatting>
  <conditionalFormatting sqref="W316:W323">
    <cfRule type="containsText" dxfId="172" priority="181" operator="containsText" text="ТЕК">
      <formula>NOT(ISERROR(SEARCH("ТЕК",W316)))</formula>
    </cfRule>
  </conditionalFormatting>
  <conditionalFormatting sqref="W570:W577">
    <cfRule type="containsText" dxfId="171" priority="162" operator="containsText" text="ТЕК">
      <formula>NOT(ISERROR(SEARCH("ТЕК",W570)))</formula>
    </cfRule>
  </conditionalFormatting>
  <conditionalFormatting sqref="W306:W313">
    <cfRule type="containsText" dxfId="170" priority="180" operator="containsText" text="ТЕК">
      <formula>NOT(ISERROR(SEARCH("ТЕК",W306)))</formula>
    </cfRule>
  </conditionalFormatting>
  <conditionalFormatting sqref="W759:W766">
    <cfRule type="containsText" dxfId="169" priority="139" operator="containsText" text="ТЕК">
      <formula>NOT(ISERROR(SEARCH("ТЕК",W759)))</formula>
    </cfRule>
  </conditionalFormatting>
  <conditionalFormatting sqref="W290:W293">
    <cfRule type="containsText" dxfId="168" priority="178" operator="containsText" text="ТЕК">
      <formula>NOT(ISERROR(SEARCH("ТЕК",W290)))</formula>
    </cfRule>
  </conditionalFormatting>
  <conditionalFormatting sqref="W408:W415">
    <cfRule type="containsText" dxfId="167" priority="176" operator="containsText" text="ТЕК">
      <formula>NOT(ISERROR(SEARCH("ТЕК",W408)))</formula>
    </cfRule>
  </conditionalFormatting>
  <conditionalFormatting sqref="W741:W748">
    <cfRule type="containsText" dxfId="166" priority="137" operator="containsText" text="ТЕК">
      <formula>NOT(ISERROR(SEARCH("ТЕК",W741)))</formula>
    </cfRule>
  </conditionalFormatting>
  <conditionalFormatting sqref="W418:W425">
    <cfRule type="containsText" dxfId="165" priority="174" operator="containsText" text="ТЕК">
      <formula>NOT(ISERROR(SEARCH("ТЕК",W418)))</formula>
    </cfRule>
  </conditionalFormatting>
  <conditionalFormatting sqref="W508:W515">
    <cfRule type="containsText" dxfId="164" priority="175" operator="containsText" text="ТЕК">
      <formula>NOT(ISERROR(SEARCH("ТЕК",W508)))</formula>
    </cfRule>
  </conditionalFormatting>
  <conditionalFormatting sqref="W498:W505">
    <cfRule type="containsText" dxfId="163" priority="173" operator="containsText" text="ТЕК">
      <formula>NOT(ISERROR(SEARCH("ТЕК",W498)))</formula>
    </cfRule>
  </conditionalFormatting>
  <conditionalFormatting sqref="W488:W495">
    <cfRule type="containsText" dxfId="162" priority="172" operator="containsText" text="ТЕК">
      <formula>NOT(ISERROR(SEARCH("ТЕК",W488)))</formula>
    </cfRule>
  </conditionalFormatting>
  <conditionalFormatting sqref="W478:W485">
    <cfRule type="containsText" dxfId="161" priority="171" operator="containsText" text="ТЕК">
      <formula>NOT(ISERROR(SEARCH("ТЕК",W478)))</formula>
    </cfRule>
  </conditionalFormatting>
  <conditionalFormatting sqref="W468:W475">
    <cfRule type="containsText" dxfId="160" priority="170" operator="containsText" text="ТЕК">
      <formula>NOT(ISERROR(SEARCH("ТЕК",W468)))</formula>
    </cfRule>
  </conditionalFormatting>
  <conditionalFormatting sqref="W448:W455">
    <cfRule type="containsText" dxfId="159" priority="169" operator="containsText" text="ТЕК">
      <formula>NOT(ISERROR(SEARCH("ТЕК",W448)))</formula>
    </cfRule>
  </conditionalFormatting>
  <conditionalFormatting sqref="W438:W445">
    <cfRule type="containsText" dxfId="158" priority="168" operator="containsText" text="ТЕК">
      <formula>NOT(ISERROR(SEARCH("ТЕК",W438)))</formula>
    </cfRule>
  </conditionalFormatting>
  <conditionalFormatting sqref="W428:W435">
    <cfRule type="containsText" dxfId="157" priority="167" operator="containsText" text="ТЕК">
      <formula>NOT(ISERROR(SEARCH("ТЕК",W428)))</formula>
    </cfRule>
  </conditionalFormatting>
  <conditionalFormatting sqref="W458:W465">
    <cfRule type="containsText" dxfId="156" priority="166" operator="containsText" text="ТЕК">
      <formula>NOT(ISERROR(SEARCH("ТЕК",W458)))</formula>
    </cfRule>
  </conditionalFormatting>
  <conditionalFormatting sqref="W600:W607">
    <cfRule type="containsText" dxfId="155" priority="165" operator="containsText" text="ТЕК">
      <formula>NOT(ISERROR(SEARCH("ТЕК",W600)))</formula>
    </cfRule>
  </conditionalFormatting>
  <conditionalFormatting sqref="W929:W936">
    <cfRule type="containsText" dxfId="154" priority="124" operator="containsText" text="ТЕК">
      <formula>NOT(ISERROR(SEARCH("ТЕК",W929)))</formula>
    </cfRule>
  </conditionalFormatting>
  <conditionalFormatting sqref="W921:W928">
    <cfRule type="containsText" dxfId="153" priority="123" operator="containsText" text="ТЕК">
      <formula>NOT(ISERROR(SEARCH("ТЕК",W921)))</formula>
    </cfRule>
  </conditionalFormatting>
  <conditionalFormatting sqref="W911:W918">
    <cfRule type="containsText" dxfId="152" priority="122" operator="containsText" text="ТЕК">
      <formula>NOT(ISERROR(SEARCH("ТЕК",W911)))</formula>
    </cfRule>
  </conditionalFormatting>
  <conditionalFormatting sqref="W520:W527">
    <cfRule type="containsText" dxfId="151" priority="157" operator="containsText" text="ТЕК">
      <formula>NOT(ISERROR(SEARCH("ТЕК",W520)))</formula>
    </cfRule>
  </conditionalFormatting>
  <conditionalFormatting sqref="W623:W630">
    <cfRule type="containsText" dxfId="150" priority="156" operator="containsText" text="ТЕК">
      <formula>NOT(ISERROR(SEARCH("ТЕК",W623)))</formula>
    </cfRule>
  </conditionalFormatting>
  <conditionalFormatting sqref="W615:W622">
    <cfRule type="containsText" dxfId="149" priority="155" operator="containsText" text="ТЕК">
      <formula>NOT(ISERROR(SEARCH("ТЕК",W615)))</formula>
    </cfRule>
  </conditionalFormatting>
  <conditionalFormatting sqref="W1073:W1080">
    <cfRule type="containsText" dxfId="148" priority="154" operator="containsText" text="ТЕК">
      <formula>NOT(ISERROR(SEARCH("ТЕК",W1073)))</formula>
    </cfRule>
  </conditionalFormatting>
  <conditionalFormatting sqref="W1065:W1072">
    <cfRule type="containsText" dxfId="147" priority="153" operator="containsText" text="ТЕК">
      <formula>NOT(ISERROR(SEARCH("ТЕК",W1065)))</formula>
    </cfRule>
  </conditionalFormatting>
  <conditionalFormatting sqref="W1055:W1062">
    <cfRule type="containsText" dxfId="146" priority="152" operator="containsText" text="ТЕК">
      <formula>NOT(ISERROR(SEARCH("ТЕК",W1055)))</formula>
    </cfRule>
  </conditionalFormatting>
  <conditionalFormatting sqref="W1047:W1054">
    <cfRule type="containsText" dxfId="145" priority="151" operator="containsText" text="ТЕК">
      <formula>NOT(ISERROR(SEARCH("ТЕК",W1047)))</formula>
    </cfRule>
  </conditionalFormatting>
  <conditionalFormatting sqref="W695:W702">
    <cfRule type="containsText" dxfId="144" priority="150" operator="containsText" text="ТЕК">
      <formula>NOT(ISERROR(SEARCH("ТЕК",W695)))</formula>
    </cfRule>
  </conditionalFormatting>
  <conditionalFormatting sqref="W687:W694">
    <cfRule type="containsText" dxfId="143" priority="149" operator="containsText" text="ТЕК">
      <formula>NOT(ISERROR(SEARCH("ТЕК",W687)))</formula>
    </cfRule>
  </conditionalFormatting>
  <conditionalFormatting sqref="W677:W684">
    <cfRule type="containsText" dxfId="142" priority="148" operator="containsText" text="ТЕК">
      <formula>NOT(ISERROR(SEARCH("ТЕК",W677)))</formula>
    </cfRule>
  </conditionalFormatting>
  <conditionalFormatting sqref="W669:W676">
    <cfRule type="containsText" dxfId="141" priority="147" operator="containsText" text="ТЕК">
      <formula>NOT(ISERROR(SEARCH("ТЕК",W669)))</formula>
    </cfRule>
  </conditionalFormatting>
  <conditionalFormatting sqref="W659:W666">
    <cfRule type="containsText" dxfId="140" priority="146" operator="containsText" text="ТЕК">
      <formula>NOT(ISERROR(SEARCH("ТЕК",W659)))</formula>
    </cfRule>
  </conditionalFormatting>
  <conditionalFormatting sqref="W651:W658">
    <cfRule type="containsText" dxfId="139" priority="145" operator="containsText" text="ТЕК">
      <formula>NOT(ISERROR(SEARCH("ТЕК",W651)))</formula>
    </cfRule>
  </conditionalFormatting>
  <conditionalFormatting sqref="W641:W648">
    <cfRule type="containsText" dxfId="138" priority="144" operator="containsText" text="ТЕК">
      <formula>NOT(ISERROR(SEARCH("ТЕК",W641)))</formula>
    </cfRule>
  </conditionalFormatting>
  <conditionalFormatting sqref="W633:W640">
    <cfRule type="containsText" dxfId="137" priority="143" operator="containsText" text="ТЕК">
      <formula>NOT(ISERROR(SEARCH("ТЕК",W633)))</formula>
    </cfRule>
  </conditionalFormatting>
  <conditionalFormatting sqref="W785:W792">
    <cfRule type="containsText" dxfId="136" priority="142" operator="containsText" text="ТЕК">
      <formula>NOT(ISERROR(SEARCH("ТЕК",W785)))</formula>
    </cfRule>
  </conditionalFormatting>
  <conditionalFormatting sqref="W777:W784">
    <cfRule type="containsText" dxfId="135" priority="141" operator="containsText" text="ТЕК">
      <formula>NOT(ISERROR(SEARCH("ТЕК",W777)))</formula>
    </cfRule>
  </conditionalFormatting>
  <conditionalFormatting sqref="W767:W774">
    <cfRule type="containsText" dxfId="134" priority="140" operator="containsText" text="ТЕК">
      <formula>NOT(ISERROR(SEARCH("ТЕК",W767)))</formula>
    </cfRule>
  </conditionalFormatting>
  <conditionalFormatting sqref="W749:W756">
    <cfRule type="containsText" dxfId="133" priority="138" operator="containsText" text="ТЕК">
      <formula>NOT(ISERROR(SEARCH("ТЕК",W749)))</formula>
    </cfRule>
  </conditionalFormatting>
  <conditionalFormatting sqref="W731:W738">
    <cfRule type="containsText" dxfId="132" priority="136" operator="containsText" text="ТЕК">
      <formula>NOT(ISERROR(SEARCH("ТЕК",W731)))</formula>
    </cfRule>
  </conditionalFormatting>
  <conditionalFormatting sqref="W723:W730">
    <cfRule type="containsText" dxfId="131" priority="135" operator="containsText" text="ТЕК">
      <formula>NOT(ISERROR(SEARCH("ТЕК",W723)))</formula>
    </cfRule>
  </conditionalFormatting>
  <conditionalFormatting sqref="W713:W720">
    <cfRule type="containsText" dxfId="130" priority="134" operator="containsText" text="ТЕК">
      <formula>NOT(ISERROR(SEARCH("ТЕК",W713)))</formula>
    </cfRule>
  </conditionalFormatting>
  <conditionalFormatting sqref="W705:W712">
    <cfRule type="containsText" dxfId="129" priority="133" operator="containsText" text="ТЕК">
      <formula>NOT(ISERROR(SEARCH("ТЕК",W705)))</formula>
    </cfRule>
  </conditionalFormatting>
  <conditionalFormatting sqref="W857:W864">
    <cfRule type="containsText" dxfId="128" priority="132" operator="containsText" text="ТЕК">
      <formula>NOT(ISERROR(SEARCH("ТЕК",W857)))</formula>
    </cfRule>
  </conditionalFormatting>
  <conditionalFormatting sqref="W849:W856">
    <cfRule type="containsText" dxfId="127" priority="131" operator="containsText" text="ТЕК">
      <formula>NOT(ISERROR(SEARCH("ТЕК",W849)))</formula>
    </cfRule>
  </conditionalFormatting>
  <conditionalFormatting sqref="W839:W846">
    <cfRule type="containsText" dxfId="126" priority="130" operator="containsText" text="ТЕК">
      <formula>NOT(ISERROR(SEARCH("ТЕК",W839)))</formula>
    </cfRule>
  </conditionalFormatting>
  <conditionalFormatting sqref="W831:W838">
    <cfRule type="containsText" dxfId="125" priority="129" operator="containsText" text="ТЕК">
      <formula>NOT(ISERROR(SEARCH("ТЕК",W831)))</formula>
    </cfRule>
  </conditionalFormatting>
  <conditionalFormatting sqref="W821:W828">
    <cfRule type="containsText" dxfId="124" priority="128" operator="containsText" text="ТЕК">
      <formula>NOT(ISERROR(SEARCH("ТЕК",W821)))</formula>
    </cfRule>
  </conditionalFormatting>
  <conditionalFormatting sqref="W813:W820">
    <cfRule type="containsText" dxfId="123" priority="127" operator="containsText" text="ТЕК">
      <formula>NOT(ISERROR(SEARCH("ТЕК",W813)))</formula>
    </cfRule>
  </conditionalFormatting>
  <conditionalFormatting sqref="W803:W810">
    <cfRule type="containsText" dxfId="122" priority="126" operator="containsText" text="ТЕК">
      <formula>NOT(ISERROR(SEARCH("ТЕК",W803)))</formula>
    </cfRule>
  </conditionalFormatting>
  <conditionalFormatting sqref="W795:W802">
    <cfRule type="containsText" dxfId="121" priority="125" operator="containsText" text="ТЕК">
      <formula>NOT(ISERROR(SEARCH("ТЕК",W795)))</formula>
    </cfRule>
  </conditionalFormatting>
  <conditionalFormatting sqref="W903:W910">
    <cfRule type="containsText" dxfId="120" priority="121" operator="containsText" text="ТЕК">
      <formula>NOT(ISERROR(SEARCH("ТЕК",W903)))</formula>
    </cfRule>
  </conditionalFormatting>
  <conditionalFormatting sqref="W893:W900">
    <cfRule type="containsText" dxfId="119" priority="120" operator="containsText" text="ТЕК">
      <formula>NOT(ISERROR(SEARCH("ТЕК",W893)))</formula>
    </cfRule>
  </conditionalFormatting>
  <conditionalFormatting sqref="W885:W892">
    <cfRule type="containsText" dxfId="118" priority="119" operator="containsText" text="ТЕК">
      <formula>NOT(ISERROR(SEARCH("ТЕК",W885)))</formula>
    </cfRule>
  </conditionalFormatting>
  <conditionalFormatting sqref="W875:W882">
    <cfRule type="containsText" dxfId="117" priority="118" operator="containsText" text="ТЕК">
      <formula>NOT(ISERROR(SEARCH("ТЕК",W875)))</formula>
    </cfRule>
  </conditionalFormatting>
  <conditionalFormatting sqref="W867:W874">
    <cfRule type="containsText" dxfId="116" priority="117" operator="containsText" text="ТЕК">
      <formula>NOT(ISERROR(SEARCH("ТЕК",W867)))</formula>
    </cfRule>
  </conditionalFormatting>
  <conditionalFormatting sqref="W983:W990">
    <cfRule type="containsText" dxfId="115" priority="116" operator="containsText" text="ТЕК">
      <formula>NOT(ISERROR(SEARCH("ТЕК",W983)))</formula>
    </cfRule>
  </conditionalFormatting>
  <conditionalFormatting sqref="W975:W982">
    <cfRule type="containsText" dxfId="114" priority="115" operator="containsText" text="ТЕК">
      <formula>NOT(ISERROR(SEARCH("ТЕК",W975)))</formula>
    </cfRule>
  </conditionalFormatting>
  <conditionalFormatting sqref="W965:W972">
    <cfRule type="containsText" dxfId="113" priority="114" operator="containsText" text="ТЕК">
      <formula>NOT(ISERROR(SEARCH("ТЕК",W965)))</formula>
    </cfRule>
  </conditionalFormatting>
  <conditionalFormatting sqref="W957:W964">
    <cfRule type="containsText" dxfId="112" priority="113" operator="containsText" text="ТЕК">
      <formula>NOT(ISERROR(SEARCH("ТЕК",W957)))</formula>
    </cfRule>
  </conditionalFormatting>
  <conditionalFormatting sqref="W947:W954">
    <cfRule type="containsText" dxfId="111" priority="112" operator="containsText" text="ТЕК">
      <formula>NOT(ISERROR(SEARCH("ТЕК",W947)))</formula>
    </cfRule>
  </conditionalFormatting>
  <conditionalFormatting sqref="W939:W946">
    <cfRule type="containsText" dxfId="110" priority="111" operator="containsText" text="ТЕК">
      <formula>NOT(ISERROR(SEARCH("ТЕК",W939)))</formula>
    </cfRule>
  </conditionalFormatting>
  <conditionalFormatting sqref="W1037:W1044">
    <cfRule type="containsText" dxfId="109" priority="110" operator="containsText" text="ТЕК">
      <formula>NOT(ISERROR(SEARCH("ТЕК",W1037)))</formula>
    </cfRule>
  </conditionalFormatting>
  <conditionalFormatting sqref="W1029:W1036">
    <cfRule type="containsText" dxfId="108" priority="109" operator="containsText" text="ТЕК">
      <formula>NOT(ISERROR(SEARCH("ТЕК",W1029)))</formula>
    </cfRule>
  </conditionalFormatting>
  <conditionalFormatting sqref="W1019:W1026">
    <cfRule type="containsText" dxfId="107" priority="108" operator="containsText" text="ТЕК">
      <formula>NOT(ISERROR(SEARCH("ТЕК",W1019)))</formula>
    </cfRule>
  </conditionalFormatting>
  <conditionalFormatting sqref="W1011:W1018">
    <cfRule type="containsText" dxfId="106" priority="107" operator="containsText" text="ТЕК">
      <formula>NOT(ISERROR(SEARCH("ТЕК",W1011)))</formula>
    </cfRule>
  </conditionalFormatting>
  <conditionalFormatting sqref="W1001:W1008">
    <cfRule type="containsText" dxfId="105" priority="106" operator="containsText" text="ТЕК">
      <formula>NOT(ISERROR(SEARCH("ТЕК",W1001)))</formula>
    </cfRule>
  </conditionalFormatting>
  <conditionalFormatting sqref="W993:W1000">
    <cfRule type="containsText" dxfId="104" priority="105" operator="containsText" text="ТЕК">
      <formula>NOT(ISERROR(SEARCH("ТЕК",W993)))</formula>
    </cfRule>
  </conditionalFormatting>
  <conditionalFormatting sqref="W1085:W1092">
    <cfRule type="containsText" dxfId="103" priority="104" operator="containsText" text="ТЕК">
      <formula>NOT(ISERROR(SEARCH("ТЕК",W1085)))</formula>
    </cfRule>
  </conditionalFormatting>
  <conditionalFormatting sqref="W1165:W1172">
    <cfRule type="containsText" dxfId="102" priority="103" operator="containsText" text="ТЕК">
      <formula>NOT(ISERROR(SEARCH("ТЕК",W1165)))</formula>
    </cfRule>
  </conditionalFormatting>
  <conditionalFormatting sqref="W1155:W1162">
    <cfRule type="containsText" dxfId="101" priority="102" operator="containsText" text="ТЕК">
      <formula>NOT(ISERROR(SEARCH("ТЕК",W1155)))</formula>
    </cfRule>
  </conditionalFormatting>
  <conditionalFormatting sqref="W1145:W1152">
    <cfRule type="containsText" dxfId="100" priority="101" operator="containsText" text="ТЕК">
      <formula>NOT(ISERROR(SEARCH("ТЕК",W1145)))</formula>
    </cfRule>
  </conditionalFormatting>
  <conditionalFormatting sqref="W1135:W1142">
    <cfRule type="containsText" dxfId="99" priority="100" operator="containsText" text="ТЕК">
      <formula>NOT(ISERROR(SEARCH("ТЕК",W1135)))</formula>
    </cfRule>
  </conditionalFormatting>
  <conditionalFormatting sqref="W1125:W1132">
    <cfRule type="containsText" dxfId="98" priority="99" operator="containsText" text="ТЕК">
      <formula>NOT(ISERROR(SEARCH("ТЕК",W1125)))</formula>
    </cfRule>
  </conditionalFormatting>
  <conditionalFormatting sqref="W1115:W1122">
    <cfRule type="containsText" dxfId="97" priority="98" operator="containsText" text="ТЕК">
      <formula>NOT(ISERROR(SEARCH("ТЕК",W1115)))</formula>
    </cfRule>
  </conditionalFormatting>
  <conditionalFormatting sqref="W1105:W1112">
    <cfRule type="containsText" dxfId="96" priority="97" operator="containsText" text="ТЕК">
      <formula>NOT(ISERROR(SEARCH("ТЕК",W1105)))</formula>
    </cfRule>
  </conditionalFormatting>
  <conditionalFormatting sqref="W1095:W1102">
    <cfRule type="containsText" dxfId="95" priority="96" operator="containsText" text="ТЕК">
      <formula>NOT(ISERROR(SEARCH("ТЕК",W1095)))</formula>
    </cfRule>
  </conditionalFormatting>
  <conditionalFormatting sqref="W1176:W1183">
    <cfRule type="containsText" dxfId="94" priority="95" operator="containsText" text="ТЕК">
      <formula>NOT(ISERROR(SEARCH("ТЕК",W1176)))</formula>
    </cfRule>
  </conditionalFormatting>
  <conditionalFormatting sqref="W1226:W1233">
    <cfRule type="containsText" dxfId="93" priority="94" operator="containsText" text="ТЕК">
      <formula>NOT(ISERROR(SEARCH("ТЕК",W1226)))</formula>
    </cfRule>
  </conditionalFormatting>
  <conditionalFormatting sqref="W1216:W1223">
    <cfRule type="containsText" dxfId="92" priority="93" operator="containsText" text="ТЕК">
      <formula>NOT(ISERROR(SEARCH("ТЕК",W1216)))</formula>
    </cfRule>
  </conditionalFormatting>
  <conditionalFormatting sqref="W1206:W1213">
    <cfRule type="containsText" dxfId="91" priority="92" operator="containsText" text="ТЕК">
      <formula>NOT(ISERROR(SEARCH("ТЕК",W1206)))</formula>
    </cfRule>
  </conditionalFormatting>
  <conditionalFormatting sqref="W1196:W1203">
    <cfRule type="containsText" dxfId="90" priority="91" operator="containsText" text="ТЕК">
      <formula>NOT(ISERROR(SEARCH("ТЕК",W1196)))</formula>
    </cfRule>
  </conditionalFormatting>
  <conditionalFormatting sqref="W1186:W1193">
    <cfRule type="containsText" dxfId="89" priority="90" operator="containsText" text="ТЕК">
      <formula>NOT(ISERROR(SEARCH("ТЕК",W1186)))</formula>
    </cfRule>
  </conditionalFormatting>
  <conditionalFormatting sqref="J1256:K1256">
    <cfRule type="containsText" dxfId="88" priority="89" operator="containsText" text="ТЕК">
      <formula>NOT(ISERROR(SEARCH("ТЕК",J1256)))</formula>
    </cfRule>
  </conditionalFormatting>
  <conditionalFormatting sqref="U1256">
    <cfRule type="containsText" dxfId="87" priority="88" operator="containsText" text="ТЕК">
      <formula>NOT(ISERROR(SEARCH("ТЕК",U1256)))</formula>
    </cfRule>
  </conditionalFormatting>
  <conditionalFormatting sqref="Q1256">
    <cfRule type="containsText" dxfId="86" priority="87" operator="containsText" text="ТЕК">
      <formula>NOT(ISERROR(SEARCH("ТЕК",Q1256)))</formula>
    </cfRule>
  </conditionalFormatting>
  <conditionalFormatting sqref="W1256">
    <cfRule type="containsText" dxfId="85" priority="86" operator="containsText" text="ТЕК">
      <formula>NOT(ISERROR(SEARCH("ТЕК",W1256)))</formula>
    </cfRule>
  </conditionalFormatting>
  <conditionalFormatting sqref="J1255:K1255">
    <cfRule type="containsText" dxfId="84" priority="85" operator="containsText" text="ТЕК">
      <formula>NOT(ISERROR(SEARCH("ТЕК",J1255)))</formula>
    </cfRule>
  </conditionalFormatting>
  <conditionalFormatting sqref="U1255">
    <cfRule type="containsText" dxfId="83" priority="84" operator="containsText" text="ТЕК">
      <formula>NOT(ISERROR(SEARCH("ТЕК",U1255)))</formula>
    </cfRule>
  </conditionalFormatting>
  <conditionalFormatting sqref="Q1255">
    <cfRule type="containsText" dxfId="82" priority="83" operator="containsText" text="ТЕК">
      <formula>NOT(ISERROR(SEARCH("ТЕК",Q1255)))</formula>
    </cfRule>
  </conditionalFormatting>
  <conditionalFormatting sqref="W1255">
    <cfRule type="containsText" dxfId="81" priority="82" operator="containsText" text="ТЕК">
      <formula>NOT(ISERROR(SEARCH("ТЕК",W1255)))</formula>
    </cfRule>
  </conditionalFormatting>
  <conditionalFormatting sqref="J1236:K1236">
    <cfRule type="containsText" dxfId="80" priority="81" operator="containsText" text="ТЕК">
      <formula>NOT(ISERROR(SEARCH("ТЕК",J1236)))</formula>
    </cfRule>
  </conditionalFormatting>
  <conditionalFormatting sqref="U1236">
    <cfRule type="containsText" dxfId="79" priority="80" operator="containsText" text="ТЕК">
      <formula>NOT(ISERROR(SEARCH("ТЕК",U1236)))</formula>
    </cfRule>
  </conditionalFormatting>
  <conditionalFormatting sqref="Q1236">
    <cfRule type="containsText" dxfId="78" priority="79" operator="containsText" text="ТЕК">
      <formula>NOT(ISERROR(SEARCH("ТЕК",Q1236)))</formula>
    </cfRule>
  </conditionalFormatting>
  <conditionalFormatting sqref="W1236">
    <cfRule type="containsText" dxfId="77" priority="78" operator="containsText" text="ТЕК">
      <formula>NOT(ISERROR(SEARCH("ТЕК",W1236)))</formula>
    </cfRule>
  </conditionalFormatting>
  <conditionalFormatting sqref="J1254:K1254">
    <cfRule type="containsText" dxfId="76" priority="77" operator="containsText" text="ТЕК">
      <formula>NOT(ISERROR(SEARCH("ТЕК",J1254)))</formula>
    </cfRule>
  </conditionalFormatting>
  <conditionalFormatting sqref="U1254">
    <cfRule type="containsText" dxfId="75" priority="76" operator="containsText" text="ТЕК">
      <formula>NOT(ISERROR(SEARCH("ТЕК",U1254)))</formula>
    </cfRule>
  </conditionalFormatting>
  <conditionalFormatting sqref="Q1254">
    <cfRule type="containsText" dxfId="74" priority="75" operator="containsText" text="ТЕК">
      <formula>NOT(ISERROR(SEARCH("ТЕК",Q1254)))</formula>
    </cfRule>
  </conditionalFormatting>
  <conditionalFormatting sqref="W1254">
    <cfRule type="containsText" dxfId="73" priority="74" operator="containsText" text="ТЕК">
      <formula>NOT(ISERROR(SEARCH("ТЕК",W1254)))</formula>
    </cfRule>
  </conditionalFormatting>
  <conditionalFormatting sqref="J1253:K1253">
    <cfRule type="containsText" dxfId="72" priority="73" operator="containsText" text="ТЕК">
      <formula>NOT(ISERROR(SEARCH("ТЕК",J1253)))</formula>
    </cfRule>
  </conditionalFormatting>
  <conditionalFormatting sqref="U1253">
    <cfRule type="containsText" dxfId="71" priority="72" operator="containsText" text="ТЕК">
      <formula>NOT(ISERROR(SEARCH("ТЕК",U1253)))</formula>
    </cfRule>
  </conditionalFormatting>
  <conditionalFormatting sqref="Q1253">
    <cfRule type="containsText" dxfId="70" priority="71" operator="containsText" text="ТЕК">
      <formula>NOT(ISERROR(SEARCH("ТЕК",Q1253)))</formula>
    </cfRule>
  </conditionalFormatting>
  <conditionalFormatting sqref="W1253">
    <cfRule type="containsText" dxfId="69" priority="70" operator="containsText" text="ТЕК">
      <formula>NOT(ISERROR(SEARCH("ТЕК",W1253)))</formula>
    </cfRule>
  </conditionalFormatting>
  <conditionalFormatting sqref="J1252:K1252">
    <cfRule type="containsText" dxfId="68" priority="69" operator="containsText" text="ТЕК">
      <formula>NOT(ISERROR(SEARCH("ТЕК",J1252)))</formula>
    </cfRule>
  </conditionalFormatting>
  <conditionalFormatting sqref="U1252">
    <cfRule type="containsText" dxfId="67" priority="68" operator="containsText" text="ТЕК">
      <formula>NOT(ISERROR(SEARCH("ТЕК",U1252)))</formula>
    </cfRule>
  </conditionalFormatting>
  <conditionalFormatting sqref="Q1252">
    <cfRule type="containsText" dxfId="66" priority="67" operator="containsText" text="ТЕК">
      <formula>NOT(ISERROR(SEARCH("ТЕК",Q1252)))</formula>
    </cfRule>
  </conditionalFormatting>
  <conditionalFormatting sqref="W1252">
    <cfRule type="containsText" dxfId="65" priority="66" operator="containsText" text="ТЕК">
      <formula>NOT(ISERROR(SEARCH("ТЕК",W1252)))</formula>
    </cfRule>
  </conditionalFormatting>
  <conditionalFormatting sqref="J1251:K1251">
    <cfRule type="containsText" dxfId="64" priority="65" operator="containsText" text="ТЕК">
      <formula>NOT(ISERROR(SEARCH("ТЕК",J1251)))</formula>
    </cfRule>
  </conditionalFormatting>
  <conditionalFormatting sqref="U1251">
    <cfRule type="containsText" dxfId="63" priority="64" operator="containsText" text="ТЕК">
      <formula>NOT(ISERROR(SEARCH("ТЕК",U1251)))</formula>
    </cfRule>
  </conditionalFormatting>
  <conditionalFormatting sqref="Q1251">
    <cfRule type="containsText" dxfId="62" priority="63" operator="containsText" text="ТЕК">
      <formula>NOT(ISERROR(SEARCH("ТЕК",Q1251)))</formula>
    </cfRule>
  </conditionalFormatting>
  <conditionalFormatting sqref="W1251">
    <cfRule type="containsText" dxfId="61" priority="62" operator="containsText" text="ТЕК">
      <formula>NOT(ISERROR(SEARCH("ТЕК",W1251)))</formula>
    </cfRule>
  </conditionalFormatting>
  <conditionalFormatting sqref="J1250:K1250">
    <cfRule type="containsText" dxfId="60" priority="61" operator="containsText" text="ТЕК">
      <formula>NOT(ISERROR(SEARCH("ТЕК",J1250)))</formula>
    </cfRule>
  </conditionalFormatting>
  <conditionalFormatting sqref="U1250">
    <cfRule type="containsText" dxfId="59" priority="60" operator="containsText" text="ТЕК">
      <formula>NOT(ISERROR(SEARCH("ТЕК",U1250)))</formula>
    </cfRule>
  </conditionalFormatting>
  <conditionalFormatting sqref="Q1250">
    <cfRule type="containsText" dxfId="58" priority="59" operator="containsText" text="ТЕК">
      <formula>NOT(ISERROR(SEARCH("ТЕК",Q1250)))</formula>
    </cfRule>
  </conditionalFormatting>
  <conditionalFormatting sqref="W1250">
    <cfRule type="containsText" dxfId="57" priority="58" operator="containsText" text="ТЕК">
      <formula>NOT(ISERROR(SEARCH("ТЕК",W1250)))</formula>
    </cfRule>
  </conditionalFormatting>
  <conditionalFormatting sqref="J1249:K1249">
    <cfRule type="containsText" dxfId="56" priority="57" operator="containsText" text="ТЕК">
      <formula>NOT(ISERROR(SEARCH("ТЕК",J1249)))</formula>
    </cfRule>
  </conditionalFormatting>
  <conditionalFormatting sqref="U1249">
    <cfRule type="containsText" dxfId="55" priority="56" operator="containsText" text="ТЕК">
      <formula>NOT(ISERROR(SEARCH("ТЕК",U1249)))</formula>
    </cfRule>
  </conditionalFormatting>
  <conditionalFormatting sqref="Q1249">
    <cfRule type="containsText" dxfId="54" priority="55" operator="containsText" text="ТЕК">
      <formula>NOT(ISERROR(SEARCH("ТЕК",Q1249)))</formula>
    </cfRule>
  </conditionalFormatting>
  <conditionalFormatting sqref="W1249">
    <cfRule type="containsText" dxfId="53" priority="54" operator="containsText" text="ТЕК">
      <formula>NOT(ISERROR(SEARCH("ТЕК",W1249)))</formula>
    </cfRule>
  </conditionalFormatting>
  <conditionalFormatting sqref="J1248:K1248">
    <cfRule type="containsText" dxfId="52" priority="53" operator="containsText" text="ТЕК">
      <formula>NOT(ISERROR(SEARCH("ТЕК",J1248)))</formula>
    </cfRule>
  </conditionalFormatting>
  <conditionalFormatting sqref="U1248">
    <cfRule type="containsText" dxfId="51" priority="52" operator="containsText" text="ТЕК">
      <formula>NOT(ISERROR(SEARCH("ТЕК",U1248)))</formula>
    </cfRule>
  </conditionalFormatting>
  <conditionalFormatting sqref="Q1248">
    <cfRule type="containsText" dxfId="50" priority="51" operator="containsText" text="ТЕК">
      <formula>NOT(ISERROR(SEARCH("ТЕК",Q1248)))</formula>
    </cfRule>
  </conditionalFormatting>
  <conditionalFormatting sqref="W1248">
    <cfRule type="containsText" dxfId="49" priority="50" operator="containsText" text="ТЕК">
      <formula>NOT(ISERROR(SEARCH("ТЕК",W1248)))</formula>
    </cfRule>
  </conditionalFormatting>
  <conditionalFormatting sqref="J1247:K1247">
    <cfRule type="containsText" dxfId="48" priority="49" operator="containsText" text="ТЕК">
      <formula>NOT(ISERROR(SEARCH("ТЕК",J1247)))</formula>
    </cfRule>
  </conditionalFormatting>
  <conditionalFormatting sqref="U1247">
    <cfRule type="containsText" dxfId="47" priority="48" operator="containsText" text="ТЕК">
      <formula>NOT(ISERROR(SEARCH("ТЕК",U1247)))</formula>
    </cfRule>
  </conditionalFormatting>
  <conditionalFormatting sqref="Q1247">
    <cfRule type="containsText" dxfId="46" priority="47" operator="containsText" text="ТЕК">
      <formula>NOT(ISERROR(SEARCH("ТЕК",Q1247)))</formula>
    </cfRule>
  </conditionalFormatting>
  <conditionalFormatting sqref="W1247">
    <cfRule type="containsText" dxfId="45" priority="46" operator="containsText" text="ТЕК">
      <formula>NOT(ISERROR(SEARCH("ТЕК",W1247)))</formula>
    </cfRule>
  </conditionalFormatting>
  <conditionalFormatting sqref="J1246:K1246">
    <cfRule type="containsText" dxfId="44" priority="45" operator="containsText" text="ТЕК">
      <formula>NOT(ISERROR(SEARCH("ТЕК",J1246)))</formula>
    </cfRule>
  </conditionalFormatting>
  <conditionalFormatting sqref="U1246">
    <cfRule type="containsText" dxfId="43" priority="44" operator="containsText" text="ТЕК">
      <formula>NOT(ISERROR(SEARCH("ТЕК",U1246)))</formula>
    </cfRule>
  </conditionalFormatting>
  <conditionalFormatting sqref="Q1246">
    <cfRule type="containsText" dxfId="42" priority="43" operator="containsText" text="ТЕК">
      <formula>NOT(ISERROR(SEARCH("ТЕК",Q1246)))</formula>
    </cfRule>
  </conditionalFormatting>
  <conditionalFormatting sqref="W1246">
    <cfRule type="containsText" dxfId="41" priority="42" operator="containsText" text="ТЕК">
      <formula>NOT(ISERROR(SEARCH("ТЕК",W1246)))</formula>
    </cfRule>
  </conditionalFormatting>
  <conditionalFormatting sqref="J1245:K1245">
    <cfRule type="containsText" dxfId="40" priority="41" operator="containsText" text="ТЕК">
      <formula>NOT(ISERROR(SEARCH("ТЕК",J1245)))</formula>
    </cfRule>
  </conditionalFormatting>
  <conditionalFormatting sqref="U1245">
    <cfRule type="containsText" dxfId="39" priority="40" operator="containsText" text="ТЕК">
      <formula>NOT(ISERROR(SEARCH("ТЕК",U1245)))</formula>
    </cfRule>
  </conditionalFormatting>
  <conditionalFormatting sqref="Q1245">
    <cfRule type="containsText" dxfId="38" priority="39" operator="containsText" text="ТЕК">
      <formula>NOT(ISERROR(SEARCH("ТЕК",Q1245)))</formula>
    </cfRule>
  </conditionalFormatting>
  <conditionalFormatting sqref="W1245">
    <cfRule type="containsText" dxfId="37" priority="38" operator="containsText" text="ТЕК">
      <formula>NOT(ISERROR(SEARCH("ТЕК",W1245)))</formula>
    </cfRule>
  </conditionalFormatting>
  <conditionalFormatting sqref="J1244:K1244">
    <cfRule type="containsText" dxfId="36" priority="37" operator="containsText" text="ТЕК">
      <formula>NOT(ISERROR(SEARCH("ТЕК",J1244)))</formula>
    </cfRule>
  </conditionalFormatting>
  <conditionalFormatting sqref="U1244">
    <cfRule type="containsText" dxfId="35" priority="36" operator="containsText" text="ТЕК">
      <formula>NOT(ISERROR(SEARCH("ТЕК",U1244)))</formula>
    </cfRule>
  </conditionalFormatting>
  <conditionalFormatting sqref="Q1244">
    <cfRule type="containsText" dxfId="34" priority="35" operator="containsText" text="ТЕК">
      <formula>NOT(ISERROR(SEARCH("ТЕК",Q1244)))</formula>
    </cfRule>
  </conditionalFormatting>
  <conditionalFormatting sqref="W1244">
    <cfRule type="containsText" dxfId="33" priority="34" operator="containsText" text="ТЕК">
      <formula>NOT(ISERROR(SEARCH("ТЕК",W1244)))</formula>
    </cfRule>
  </conditionalFormatting>
  <conditionalFormatting sqref="J1243:K1243">
    <cfRule type="containsText" dxfId="32" priority="33" operator="containsText" text="ТЕК">
      <formula>NOT(ISERROR(SEARCH("ТЕК",J1243)))</formula>
    </cfRule>
  </conditionalFormatting>
  <conditionalFormatting sqref="U1243">
    <cfRule type="containsText" dxfId="31" priority="32" operator="containsText" text="ТЕК">
      <formula>NOT(ISERROR(SEARCH("ТЕК",U1243)))</formula>
    </cfRule>
  </conditionalFormatting>
  <conditionalFormatting sqref="Q1243">
    <cfRule type="containsText" dxfId="30" priority="31" operator="containsText" text="ТЕК">
      <formula>NOT(ISERROR(SEARCH("ТЕК",Q1243)))</formula>
    </cfRule>
  </conditionalFormatting>
  <conditionalFormatting sqref="W1243">
    <cfRule type="containsText" dxfId="29" priority="30" operator="containsText" text="ТЕК">
      <formula>NOT(ISERROR(SEARCH("ТЕК",W1243)))</formula>
    </cfRule>
  </conditionalFormatting>
  <conditionalFormatting sqref="J1242:K1242">
    <cfRule type="containsText" dxfId="28" priority="29" operator="containsText" text="ТЕК">
      <formula>NOT(ISERROR(SEARCH("ТЕК",J1242)))</formula>
    </cfRule>
  </conditionalFormatting>
  <conditionalFormatting sqref="U1242">
    <cfRule type="containsText" dxfId="27" priority="28" operator="containsText" text="ТЕК">
      <formula>NOT(ISERROR(SEARCH("ТЕК",U1242)))</formula>
    </cfRule>
  </conditionalFormatting>
  <conditionalFormatting sqref="Q1242">
    <cfRule type="containsText" dxfId="26" priority="27" operator="containsText" text="ТЕК">
      <formula>NOT(ISERROR(SEARCH("ТЕК",Q1242)))</formula>
    </cfRule>
  </conditionalFormatting>
  <conditionalFormatting sqref="W1242">
    <cfRule type="containsText" dxfId="25" priority="26" operator="containsText" text="ТЕК">
      <formula>NOT(ISERROR(SEARCH("ТЕК",W1242)))</formula>
    </cfRule>
  </conditionalFormatting>
  <conditionalFormatting sqref="J1241:K1241">
    <cfRule type="containsText" dxfId="24" priority="25" operator="containsText" text="ТЕК">
      <formula>NOT(ISERROR(SEARCH("ТЕК",J1241)))</formula>
    </cfRule>
  </conditionalFormatting>
  <conditionalFormatting sqref="U1241">
    <cfRule type="containsText" dxfId="23" priority="24" operator="containsText" text="ТЕК">
      <formula>NOT(ISERROR(SEARCH("ТЕК",U1241)))</formula>
    </cfRule>
  </conditionalFormatting>
  <conditionalFormatting sqref="Q1241">
    <cfRule type="containsText" dxfId="22" priority="23" operator="containsText" text="ТЕК">
      <formula>NOT(ISERROR(SEARCH("ТЕК",Q1241)))</formula>
    </cfRule>
  </conditionalFormatting>
  <conditionalFormatting sqref="W1241">
    <cfRule type="containsText" dxfId="21" priority="22" operator="containsText" text="ТЕК">
      <formula>NOT(ISERROR(SEARCH("ТЕК",W1241)))</formula>
    </cfRule>
  </conditionalFormatting>
  <conditionalFormatting sqref="J1240:K1240">
    <cfRule type="containsText" dxfId="20" priority="21" operator="containsText" text="ТЕК">
      <formula>NOT(ISERROR(SEARCH("ТЕК",J1240)))</formula>
    </cfRule>
  </conditionalFormatting>
  <conditionalFormatting sqref="U1240">
    <cfRule type="containsText" dxfId="19" priority="20" operator="containsText" text="ТЕК">
      <formula>NOT(ISERROR(SEARCH("ТЕК",U1240)))</formula>
    </cfRule>
  </conditionalFormatting>
  <conditionalFormatting sqref="Q1240">
    <cfRule type="containsText" dxfId="18" priority="19" operator="containsText" text="ТЕК">
      <formula>NOT(ISERROR(SEARCH("ТЕК",Q1240)))</formula>
    </cfRule>
  </conditionalFormatting>
  <conditionalFormatting sqref="W1240">
    <cfRule type="containsText" dxfId="17" priority="18" operator="containsText" text="ТЕК">
      <formula>NOT(ISERROR(SEARCH("ТЕК",W1240)))</formula>
    </cfRule>
  </conditionalFormatting>
  <conditionalFormatting sqref="J1239:K1239">
    <cfRule type="containsText" dxfId="16" priority="17" operator="containsText" text="ТЕК">
      <formula>NOT(ISERROR(SEARCH("ТЕК",J1239)))</formula>
    </cfRule>
  </conditionalFormatting>
  <conditionalFormatting sqref="U1239">
    <cfRule type="containsText" dxfId="15" priority="16" operator="containsText" text="ТЕК">
      <formula>NOT(ISERROR(SEARCH("ТЕК",U1239)))</formula>
    </cfRule>
  </conditionalFormatting>
  <conditionalFormatting sqref="Q1239">
    <cfRule type="containsText" dxfId="14" priority="15" operator="containsText" text="ТЕК">
      <formula>NOT(ISERROR(SEARCH("ТЕК",Q1239)))</formula>
    </cfRule>
  </conditionalFormatting>
  <conditionalFormatting sqref="W1239">
    <cfRule type="containsText" dxfId="13" priority="14" operator="containsText" text="ТЕК">
      <formula>NOT(ISERROR(SEARCH("ТЕК",W1239)))</formula>
    </cfRule>
  </conditionalFormatting>
  <conditionalFormatting sqref="J1238:K1238">
    <cfRule type="containsText" dxfId="12" priority="13" operator="containsText" text="ТЕК">
      <formula>NOT(ISERROR(SEARCH("ТЕК",J1238)))</formula>
    </cfRule>
  </conditionalFormatting>
  <conditionalFormatting sqref="U1238">
    <cfRule type="containsText" dxfId="11" priority="12" operator="containsText" text="ТЕК">
      <formula>NOT(ISERROR(SEARCH("ТЕК",U1238)))</formula>
    </cfRule>
  </conditionalFormatting>
  <conditionalFormatting sqref="Q1238">
    <cfRule type="containsText" dxfId="10" priority="11" operator="containsText" text="ТЕК">
      <formula>NOT(ISERROR(SEARCH("ТЕК",Q1238)))</formula>
    </cfRule>
  </conditionalFormatting>
  <conditionalFormatting sqref="W1238">
    <cfRule type="containsText" dxfId="9" priority="10" operator="containsText" text="ТЕК">
      <formula>NOT(ISERROR(SEARCH("ТЕК",W1238)))</formula>
    </cfRule>
  </conditionalFormatting>
  <conditionalFormatting sqref="J1237:K1237">
    <cfRule type="containsText" dxfId="8" priority="9" operator="containsText" text="ТЕК">
      <formula>NOT(ISERROR(SEARCH("ТЕК",J1237)))</formula>
    </cfRule>
  </conditionalFormatting>
  <conditionalFormatting sqref="U1237">
    <cfRule type="containsText" dxfId="7" priority="8" operator="containsText" text="ТЕК">
      <formula>NOT(ISERROR(SEARCH("ТЕК",U1237)))</formula>
    </cfRule>
  </conditionalFormatting>
  <conditionalFormatting sqref="Q1237">
    <cfRule type="containsText" dxfId="6" priority="7" operator="containsText" text="ТЕК">
      <formula>NOT(ISERROR(SEARCH("ТЕК",Q1237)))</formula>
    </cfRule>
  </conditionalFormatting>
  <conditionalFormatting sqref="W1237">
    <cfRule type="containsText" dxfId="5" priority="6" operator="containsText" text="ТЕК">
      <formula>NOT(ISERROR(SEARCH("ТЕК",W1237)))</formula>
    </cfRule>
  </conditionalFormatting>
  <conditionalFormatting sqref="W1270:W1277">
    <cfRule type="containsText" dxfId="4" priority="5" operator="containsText" text="ТЕК">
      <formula>NOT(ISERROR(SEARCH("ТЕК",W1270)))</formula>
    </cfRule>
  </conditionalFormatting>
  <conditionalFormatting sqref="W1260:W1267">
    <cfRule type="containsText" dxfId="3" priority="4" operator="containsText" text="ТЕК">
      <formula>NOT(ISERROR(SEARCH("ТЕК",W1260)))</formula>
    </cfRule>
  </conditionalFormatting>
  <conditionalFormatting sqref="W1301:W1308">
    <cfRule type="containsText" dxfId="2" priority="3" operator="containsText" text="ТЕК">
      <formula>NOT(ISERROR(SEARCH("ТЕК",W1301)))</formula>
    </cfRule>
  </conditionalFormatting>
  <conditionalFormatting sqref="W1291:W1298">
    <cfRule type="containsText" dxfId="1" priority="2" operator="containsText" text="ТЕК">
      <formula>NOT(ISERROR(SEARCH("ТЕК",W1291)))</formula>
    </cfRule>
  </conditionalFormatting>
  <conditionalFormatting sqref="W1281:W1288">
    <cfRule type="containsText" dxfId="0" priority="1" operator="containsText" text="ТЕК">
      <formula>NOT(ISERROR(SEARCH("ТЕК",W1281)))</formula>
    </cfRule>
  </conditionalFormatting>
  <dataValidations count="12">
    <dataValidation type="list" allowBlank="1" showInputMessage="1" showErrorMessage="1" sqref="I615:I630 I1065:I1080 I1047:I1062 I687:I702 I669:I684 I651:I666 I633:I648 I777:I792 I759:I774 I741:I756 I723:I738 I705:I720 I849:I864 I831:I846 I813:I828 I795:I810 I921:I936 I903:I918 I885:I900 I867:I882 I975:I990 I957:I972 I939:I954 I1029:I1044 I1011:I1026 I993:I1008">
      <formula1>"КАП,СРЕД,ТЕК"</formula1>
    </dataValidation>
    <dataValidation type="list" allowBlank="1" showInputMessage="1" showErrorMessage="1" sqref="I614 I1064 I1046 I686 I668 I650 I632 I776 I758 I740 I722 I704 I848 I830 I812 I794 I920 I902 I884 I866 I974 I956 I938 I1028 I1010 I992">
      <formula1>"- ,К.Т.С,К.Т,К,Т,С,"</formula1>
    </dataValidation>
    <dataValidation type="list" allowBlank="1" showInputMessage="1" showErrorMessage="1" sqref="B614:B630 B1064:B1080 B1046:B1062 B686:B702 B668:B684 B650:B666 B632:B648 B776:B792 B758:B774 B740:B756 B722:B738 B704:B720 B848:B864 B830:B846 B812:B828 B794:B810 B920:B936 B902:B918 B884:B900 B866:B882 B974:B990 B956:B972 B938:B954 B1028:B1044 B1010:B1026 B992:B1008">
      <formula1>"110 кВ.,35кВ.,6-10 кВ.,"</formula1>
    </dataValidation>
    <dataValidation type="list" allowBlank="1" showInputMessage="1" showErrorMessage="1" sqref="B407:B415 B507:B515 B417:B425 B497:B505 B487:B495 B477:B485 B467:B475 B447:B455 B437:B445 B427:B435 B457:B465 B599:B607 B589:B597 B579:B587 B569:B577 B559:B567 B549:B557 B539:B547 B529:B537 B519:B527 B1084:B1092 B1164:B1172 B1154:B1162 B1144:B1152 B1134:B1142 B1124:B1132 B1114:B1122 B1104:B1112 B1094:B1102 B1175:B1183 B1225:B1233 B1215:B1223 B1205:B1213 B1195:B1203 B1185:B1193 B1269:B1277 B1259:B1267 B1300:B1308 B1290:B1298 B1280:B1288">
      <formula1>"6-10 кВ.,0,4 кВ.,"</formula1>
    </dataValidation>
    <dataValidation type="list" allowBlank="1" showInputMessage="1" showErrorMessage="1" sqref="I114:I116 I118:I128 I519:I608 I130:I276 I279:I404 I407:I516 I1084:I1173 I1175:I1234 I1236:I1257 I1259:I1278 I1280:I1309">
      <formula1>"К,С,Т,Просека"</formula1>
    </dataValidation>
    <dataValidation type="list" allowBlank="1" showInputMessage="1" showErrorMessage="1" sqref="D114:D116 D118:D128 D519:D608 D130:D276 D279:D404 D407:D516 D614:D630 D1064:D1080 D1046:D1062 D686:D702 D668:D684 D650:D666 D632:D648 D776:D792 D758:D774 D740:D756 D722:D738 D704:D720 D848:D864 D830:D846 D812:D828 D794:D810 D920:D936 D902:D918 D884:D900 D866:D882 D974:D990 D956:D972 D938:D954 D1028:D1044 D1010:D1026 D992:D1008 D1084:D1173 D1175:D1234">
      <formula1>"уВС, ГП, Нерюнгринский участок, Центральный участок, Северный участок, Томмотский Участок"</formula1>
    </dataValidation>
    <dataValidation type="list" allowBlank="1" showInputMessage="1" showErrorMessage="1" sqref="C114:C116 C118:C128 C519:C608 C130:C276 C279:C404 C407:C516 C614:C630 C1064:C1080 C1046:C1062 C686:C702 C668:C684 C650:C666 C632:C648 C776:C792 C758:C774 C740:C756 C722:C738 C704:C720 C848:C864 C830:C846 C812:C828 C794:C810 C920:C936 C902:C918 C884:C900 C866:C882 C974:C990 C956:C972 C938:C954 C1028:C1044 C1010:C1026 C992:C1008 C1084:C1173 C1175:C1234 C1259:C1278 C1280:C1309">
      <formula1>"АРЭС, НРЭС, ТРЭС"</formula1>
    </dataValidation>
    <dataValidation type="list" allowBlank="1" showInputMessage="1" showErrorMessage="1" sqref="B114:B116 B118:B128 B528 B130:B276 B279:B404 B416 B506 B496 B486 B476 B436 B446 B426 B456 B466 B608 B598 B588 B578 B568 B558 B548 B538 B516 B1173 B1163 B1153 B1143 B1133 B1123 B1113 B1093 B1103 B1234 B1224 B1214 B1204 B1184 B1194 B1278 B1268 B1309 B1299 B1289">
      <formula1>"110 кВ.,35 кВ.,"</formula1>
    </dataValidation>
    <dataValidation type="list" allowBlank="1" showInputMessage="1" showErrorMessage="1" sqref="P114:P116 P118:P128 P519:P608 P130:P276 P279:P404 P407:P516 P614:P630 P1064:P1080 P1046:P1062 P686:P702 P668:P684 P650:P666 P632:P648 P776:P792 P758:P774 P740:P756 P722:P738 P704:P720 P848:P864 P830:P846 P812:P828 P794:P810 P920:P936 P902:P918 P884:P900 P866:P882 P974:P990 P956:P972 P938:P954 P1028:P1044 P1010:P1026 P992:P1008 P1084:P1173 P1175:P1234 P1236:P1257 P1259:P1278 P1280:P1309">
      <formula1>"хоз. сп.,подряд,хоз. сп./ подряд, ,"</formula1>
    </dataValidation>
    <dataValidation type="list" errorStyle="information" allowBlank="1" showInputMessage="1" showErrorMessage="1" sqref="J1236:K1257">
      <formula1>"- ,Январь,Февраль,март,Апрель,Май,Июнь,Июль,Август,Сентябрь,Октябрь,Ноябрь,Декабрь"</formula1>
    </dataValidation>
    <dataValidation type="list" allowBlank="1" showInputMessage="1" showErrorMessage="1" sqref="G218:G226 G137:G142 G198:G206 G520:G528 G208:G216 G228:G236 G258:G266 G238:G246 G248:G256 G118:G125 G115:G116 G127:G128 G130:G135 G150:G154 G144:G148 G156:G160 G182:G190 G162:G167 G169:G175 G177:G180 G268:G276 G386:G394 G376:G384 G366:G374 G356:G364 G336:G344 G346:G354 G192:G196 G326:G334 G316:G324 G306:G314 G296:G304 G280:G288 G290:G294 G396:G404 G408:G416 G498:G506 G488:G496 G478:G486 G468:G476 G428:G436 G438:G446 G418:G426 G448:G456 G458:G466 G600:G608 G590:G598 G580:G588 G570:G578 G560:G568 G550:G558 G540:G548 G530:G538 G508:G516 G615:G630 G1065:G1080 G1047:G1062 G687:G702 G669:G684 G651:G666 G633:G648 G777:G792 G759:G774 G741:G756 G723:G738 G705:G720 G849:G864 G831:G846 G813:G828 G795:G810 G921:G936 G903:G918 G885:G900 G867:G882 G975:G990 G957:G972 G939:G954 G1029:G1044 G1011:G1026 G993:G1008 G1165:G1173 G1155:G1163 G1145:G1153 G1135:G1143 G1125:G1133 G1115:G1123 G1105:G1113 G1085:G1093 G1095:G1103 G1226:G1234 G1216:G1224 G1206:G1214 G1196:G1204 G1176:G1184 G1186:G1194 G1236:G1257 G1270:G1278 G1260:G1268 G1301:G1309 G1291:G1299 G1281:G1289">
      <formula1>"- ,Предписание, По состоянию,ПОН,МГ,Аварии,Треб.зав.,Уач. э/э,ППСЛ,"</formula1>
    </dataValidation>
    <dataValidation type="list" allowBlank="1" showInputMessage="1" showErrorMessage="1" sqref="C1236:C1257">
      <formula1>"- ,НРЭС,ТРЭС,АРЭС,"</formula1>
    </dataValidation>
  </dataValidations>
  <pageMargins left="0.25" right="0.25" top="0.75" bottom="0.75" header="0.3" footer="0.3"/>
  <pageSetup paperSize="8" scale="56" fitToHeight="0" orientation="landscape" r:id="rId8"/>
  <rowBreaks count="1" manualBreakCount="1">
    <brk id="167" max="25" man="1"/>
  </rowBreaks>
  <legacyDrawing r:id="rId9"/>
  <extLst>
    <ext xmlns:x14="http://schemas.microsoft.com/office/spreadsheetml/2009/9/main" uri="{CCE6A557-97BC-4b89-ADB6-D9C93CAAB3DF}">
      <x14:dataValidations xmlns:xm="http://schemas.microsoft.com/office/excel/2006/main" count="36">
        <x14:dataValidation type="list" allowBlank="1" showInputMessage="1" showErrorMessage="1">
          <x14:formula1>
            <xm:f>'справочник '!$L$5:$L$22</xm:f>
          </x14:formula1>
          <xm:sqref>L1165:L1173 L1155:L1163 L1145:L1153 L1135:L1143 L1125:L1133 L1115:L1123 L1105:L1113 L1085:L1093 L1095:L1103 L1234 L1224 L1214 L1204 L1184 L1194 L1278 L1268 L1309 L1299 L1289</xm:sqref>
        </x14:dataValidation>
        <x14:dataValidation type="list" allowBlank="1" showInputMessage="1" showErrorMessage="1">
          <x14:formula1>
            <xm:f>'справочник '!$H$6:$H$50</xm:f>
          </x14:formula1>
          <xm:sqref>L615:L630 L1065:L1080 L1047:L1062 L687:L702 L669:L684 L651:L666 L633:L648 L777:L792 L759:L774 L741:L756 L723:L738 L705:L720 L849:L864 L831:L846 L813:L828 L795:L810 L921:L936 L903:L918 L885:L900 L867:L882 L975:L990 L957:L972 L939:L954 L1029:L1044 L1011:L1026 L993:L1008</xm:sqref>
        </x14:dataValidation>
        <x14:dataValidation type="list" allowBlank="1" showInputMessage="1" showErrorMessage="1">
          <x14:formula1>
            <xm:f>'справочник '!$J$7:$J$45</xm:f>
          </x14:formula1>
          <xm:sqref>L520:L528 L408:L416 L498:L506 L488:L496 L478:L486 L468:L476 L428:L436 L438:L446 L418:L426 L448:L456 L458:L466 L600:L608 L590:L598 L580:L588 L570:L578 L560:L568 L550:L558 L540:L548 L530:L538 L508:L516</xm:sqref>
        </x14:dataValidation>
        <x14:dataValidation type="list" allowBlank="1" showInputMessage="1" showErrorMessage="1">
          <x14:formula1>
            <xm:f>'справочник '!$N$3:$N$14</xm:f>
          </x14:formula1>
          <xm:sqref>J114:K116 J118:K128 J519:K608 J130:K276 J279:K404 J407:K516 J614:K630 J1064:K1080 J1046:K1062 J686:K702 J668:K684 J650:K666 J632:K648 J776:K792 J758:K774 J740:K756 J722:K738 J704:K720 J848:K864 J830:K846 J812:K828 J794:K810 J920:K936 J902:K918 J884:K900 J866:K882 J974:K990 J956:K972 J938:K954 J1028:K1044 J1010:K1026 J992:K1008 J1084:K1173 J1175:K1234 J1259:K1278 J1280:K1309</xm:sqref>
        </x14:dataValidation>
        <x14:dataValidation type="list" allowBlank="1" showInputMessage="1" showErrorMessage="1">
          <x14:formula1>
            <xm:f>'справочник '!$F$7:$F$45</xm:f>
          </x14:formula1>
          <xm:sqref>L218:L226</xm:sqref>
        </x14:dataValidation>
        <x14:dataValidation type="list" allowBlank="1" showInputMessage="1" showErrorMessage="1">
          <x14:formula1>
            <xm:f>'справочник '!$F$7:$F$45</xm:f>
          </x14:formula1>
          <xm:sqref>L198:L206</xm:sqref>
        </x14:dataValidation>
        <x14:dataValidation type="list" allowBlank="1" showInputMessage="1" showErrorMessage="1">
          <x14:formula1>
            <xm:f>'справочник '!$F$7:$F$45</xm:f>
          </x14:formula1>
          <xm:sqref>L290:L294</xm:sqref>
        </x14:dataValidation>
        <x14:dataValidation type="list" allowBlank="1" showInputMessage="1" showErrorMessage="1">
          <x14:formula1>
            <xm:f>'справочник '!$F$7:$F$45</xm:f>
          </x14:formula1>
          <xm:sqref>L208:L216</xm:sqref>
        </x14:dataValidation>
        <x14:dataValidation type="list" allowBlank="1" showInputMessage="1" showErrorMessage="1">
          <x14:formula1>
            <xm:f>'справочник '!$F$7:$F$45</xm:f>
          </x14:formula1>
          <xm:sqref>L228:L236</xm:sqref>
        </x14:dataValidation>
        <x14:dataValidation type="list" allowBlank="1" showInputMessage="1" showErrorMessage="1">
          <x14:formula1>
            <xm:f>'справочник '!$F$7:$F$45</xm:f>
          </x14:formula1>
          <xm:sqref>L258:L266</xm:sqref>
        </x14:dataValidation>
        <x14:dataValidation type="list" allowBlank="1" showInputMessage="1" showErrorMessage="1">
          <x14:formula1>
            <xm:f>'справочник '!$F$7:$F$45</xm:f>
          </x14:formula1>
          <xm:sqref>L238:L246</xm:sqref>
        </x14:dataValidation>
        <x14:dataValidation type="list" allowBlank="1" showInputMessage="1" showErrorMessage="1">
          <x14:formula1>
            <xm:f>'справочник '!$F$7:$F$45</xm:f>
          </x14:formula1>
          <xm:sqref>L248:L256</xm:sqref>
        </x14:dataValidation>
        <x14:dataValidation type="list" allowBlank="1" showInputMessage="1" showErrorMessage="1">
          <x14:formula1>
            <xm:f>'справочник '!$F$7:$F$45</xm:f>
          </x14:formula1>
          <xm:sqref>L137:L142</xm:sqref>
        </x14:dataValidation>
        <x14:dataValidation type="list" allowBlank="1" showInputMessage="1" showErrorMessage="1">
          <x14:formula1>
            <xm:f>'справочник '!$F$7:$F$45</xm:f>
          </x14:formula1>
          <xm:sqref>L127:L135</xm:sqref>
        </x14:dataValidation>
        <x14:dataValidation type="list" allowBlank="1" showInputMessage="1" showErrorMessage="1">
          <x14:formula1>
            <xm:f>'справочник '!$F$7:$F$45</xm:f>
          </x14:formula1>
          <xm:sqref>L115:L125</xm:sqref>
        </x14:dataValidation>
        <x14:dataValidation type="list" allowBlank="1" showInputMessage="1" showErrorMessage="1">
          <x14:formula1>
            <xm:f>'справочник '!$F$7:$F$45</xm:f>
          </x14:formula1>
          <xm:sqref>L144:L148</xm:sqref>
        </x14:dataValidation>
        <x14:dataValidation type="list" allowBlank="1" showInputMessage="1" showErrorMessage="1">
          <x14:formula1>
            <xm:f>'справочник '!$F$7:$F$45</xm:f>
          </x14:formula1>
          <xm:sqref>L150:L154</xm:sqref>
        </x14:dataValidation>
        <x14:dataValidation type="list" allowBlank="1" showInputMessage="1" showErrorMessage="1">
          <x14:formula1>
            <xm:f>'справочник '!$F$7:$F$45</xm:f>
          </x14:formula1>
          <xm:sqref>L156:L160</xm:sqref>
        </x14:dataValidation>
        <x14:dataValidation type="list" allowBlank="1" showInputMessage="1" showErrorMessage="1">
          <x14:formula1>
            <xm:f>'справочник '!$F$7:$F$45</xm:f>
          </x14:formula1>
          <xm:sqref>L346:L354</xm:sqref>
        </x14:dataValidation>
        <x14:dataValidation type="list" allowBlank="1" showInputMessage="1" showErrorMessage="1">
          <x14:formula1>
            <xm:f>'справочник '!$F$7:$F$45</xm:f>
          </x14:formula1>
          <xm:sqref>L182:L190</xm:sqref>
        </x14:dataValidation>
        <x14:dataValidation type="list" allowBlank="1" showInputMessage="1" showErrorMessage="1">
          <x14:formula1>
            <xm:f>'справочник '!$F$7:$F$45</xm:f>
          </x14:formula1>
          <xm:sqref>L162:L167</xm:sqref>
        </x14:dataValidation>
        <x14:dataValidation type="list" allowBlank="1" showInputMessage="1" showErrorMessage="1">
          <x14:formula1>
            <xm:f>'справочник '!$F$7:$F$45</xm:f>
          </x14:formula1>
          <xm:sqref>L169:L175</xm:sqref>
        </x14:dataValidation>
        <x14:dataValidation type="list" allowBlank="1" showInputMessage="1" showErrorMessage="1">
          <x14:formula1>
            <xm:f>'справочник '!$F$7:$F$45</xm:f>
          </x14:formula1>
          <xm:sqref>L177:L180</xm:sqref>
        </x14:dataValidation>
        <x14:dataValidation type="list" allowBlank="1" showInputMessage="1" showErrorMessage="1">
          <x14:formula1>
            <xm:f>'справочник '!$F$7:$F$45</xm:f>
          </x14:formula1>
          <xm:sqref>L268:L276</xm:sqref>
        </x14:dataValidation>
        <x14:dataValidation type="list" allowBlank="1" showInputMessage="1" showErrorMessage="1">
          <x14:formula1>
            <xm:f>'справочник '!$F$7:$F$45</xm:f>
          </x14:formula1>
          <xm:sqref>L386:L394</xm:sqref>
        </x14:dataValidation>
        <x14:dataValidation type="list" allowBlank="1" showInputMessage="1" showErrorMessage="1">
          <x14:formula1>
            <xm:f>'справочник '!$F$7:$F$45</xm:f>
          </x14:formula1>
          <xm:sqref>L376:L384</xm:sqref>
        </x14:dataValidation>
        <x14:dataValidation type="list" allowBlank="1" showInputMessage="1" showErrorMessage="1">
          <x14:formula1>
            <xm:f>'справочник '!$F$7:$F$45</xm:f>
          </x14:formula1>
          <xm:sqref>L366:L374</xm:sqref>
        </x14:dataValidation>
        <x14:dataValidation type="list" allowBlank="1" showInputMessage="1" showErrorMessage="1">
          <x14:formula1>
            <xm:f>'справочник '!$F$7:$F$45</xm:f>
          </x14:formula1>
          <xm:sqref>L356:L364</xm:sqref>
        </x14:dataValidation>
        <x14:dataValidation type="list" allowBlank="1" showInputMessage="1" showErrorMessage="1">
          <x14:formula1>
            <xm:f>'справочник '!$F$7:$F$45</xm:f>
          </x14:formula1>
          <xm:sqref>L336:L344</xm:sqref>
        </x14:dataValidation>
        <x14:dataValidation type="list" allowBlank="1" showInputMessage="1" showErrorMessage="1">
          <x14:formula1>
            <xm:f>'справочник '!$F$7:$F$45</xm:f>
          </x14:formula1>
          <xm:sqref>L192:L196</xm:sqref>
        </x14:dataValidation>
        <x14:dataValidation type="list" allowBlank="1" showInputMessage="1" showErrorMessage="1">
          <x14:formula1>
            <xm:f>'справочник '!$F$7:$F$45</xm:f>
          </x14:formula1>
          <xm:sqref>L326:L334</xm:sqref>
        </x14:dataValidation>
        <x14:dataValidation type="list" allowBlank="1" showInputMessage="1" showErrorMessage="1">
          <x14:formula1>
            <xm:f>'справочник '!$F$7:$F$45</xm:f>
          </x14:formula1>
          <xm:sqref>L316:L324</xm:sqref>
        </x14:dataValidation>
        <x14:dataValidation type="list" allowBlank="1" showInputMessage="1" showErrorMessage="1">
          <x14:formula1>
            <xm:f>'справочник '!$F$7:$F$45</xm:f>
          </x14:formula1>
          <xm:sqref>L306:L314</xm:sqref>
        </x14:dataValidation>
        <x14:dataValidation type="list" allowBlank="1" showInputMessage="1" showErrorMessage="1">
          <x14:formula1>
            <xm:f>'справочник '!$F$7:$F$45</xm:f>
          </x14:formula1>
          <xm:sqref>L296:L304</xm:sqref>
        </x14:dataValidation>
        <x14:dataValidation type="list" allowBlank="1" showInputMessage="1" showErrorMessage="1">
          <x14:formula1>
            <xm:f>'справочник '!$F$7:$F$45</xm:f>
          </x14:formula1>
          <xm:sqref>L280:L288</xm:sqref>
        </x14:dataValidation>
        <x14:dataValidation type="list" allowBlank="1" showInputMessage="1" showErrorMessage="1">
          <x14:formula1>
            <xm:f>'справочник '!$F$7:$F$45</xm:f>
          </x14:formula1>
          <xm:sqref>L396:L404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ГПР - 2021</vt:lpstr>
      <vt:lpstr>справочник </vt:lpstr>
      <vt:lpstr>ГПР - 2020 (2)</vt:lpstr>
      <vt:lpstr>'ГПР - 2021'!Заголовки_для_печати</vt:lpstr>
      <vt:lpstr>'ГПР - 2020 (2)'!Область_печати</vt:lpstr>
      <vt:lpstr>'ГПР - 2021'!Область_печати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Аушев Игорь Юрьевич</dc:creator>
  <cp:lastModifiedBy>Пищур Василий Николаевич</cp:lastModifiedBy>
  <cp:lastPrinted>2021-03-01T23:31:17Z</cp:lastPrinted>
  <dcterms:created xsi:type="dcterms:W3CDTF">2006-09-16T00:00:00Z</dcterms:created>
  <dcterms:modified xsi:type="dcterms:W3CDTF">2021-03-10T06:31:49Z</dcterms:modified>
</cp:coreProperties>
</file>